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showInkAnnotation="0" codeName="ThisWorkbook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H:\Permanent\SELECTION TOOLS\Topperformers\"/>
    </mc:Choice>
  </mc:AlternateContent>
  <workbookProtection workbookAlgorithmName="SHA-512" workbookHashValue="9FjhWC4nQW2ZmIJQD/VdAo5N1qhkLpdwrOwjKZbohRn3pJmQxIoANLJMqg8AXVoFHLqRCxCijZLcU+pMcU6kSQ==" workbookSaltValue="6FbyhlJ5xqkq9rcKgPw6dw==" workbookSpinCount="100000" lockStructure="1"/>
  <bookViews>
    <workbookView xWindow="0" yWindow="0" windowWidth="23040" windowHeight="9390"/>
  </bookViews>
  <sheets>
    <sheet name="Briza 12" sheetId="16" r:id="rId1"/>
    <sheet name="cal" sheetId="8" state="hidden" r:id="rId2"/>
    <sheet name="NL" sheetId="9" state="hidden" r:id="rId3"/>
    <sheet name="EN" sheetId="13" state="hidden" r:id="rId4"/>
    <sheet name="DE" sheetId="14" state="hidden" r:id="rId5"/>
    <sheet name="FR" sheetId="15" state="hidden" r:id="rId6"/>
    <sheet name="NR" sheetId="18" state="hidden" r:id="rId7"/>
    <sheet name="SP" sheetId="19" state="hidden" r:id="rId8"/>
    <sheet name="SW" sheetId="20" state="hidden" r:id="rId9"/>
    <sheet name="TS" sheetId="21" state="hidden" r:id="rId10"/>
    <sheet name="ExtraTaal1" sheetId="22" state="hidden" r:id="rId11"/>
    <sheet name="ExtraTaal2" sheetId="23" state="hidden" r:id="rId12"/>
    <sheet name="ExtraTaal3" sheetId="24" state="hidden" r:id="rId13"/>
  </sheets>
  <definedNames>
    <definedName name="dT_heat">IF((cal!$S$10-cal!$S$11)/(cal!$S$9-cal!$S$11)&gt;0.7,(cal!$S$9+cal!$S$10)/2-cal!$S$11,(cal!$S$9-cal!$S$10)/LN((cal!$S$9-cal!$S$11)/(cal!$S$10-cal!$S$11)))</definedName>
    <definedName name="p_atm">cal!$Y$11</definedName>
    <definedName name="RH">cal!$K$12</definedName>
    <definedName name="Tl_cool">cal!$W$11</definedName>
    <definedName name="Tl_heat" localSheetId="1">cal!$S$11</definedName>
    <definedName name="Tr_cool">cal!$W$10</definedName>
    <definedName name="Tr_heat" localSheetId="1">cal!$S$10</definedName>
    <definedName name="Tv_cool" localSheetId="1">cal!$W$9</definedName>
    <definedName name="Tv_heat" localSheetId="1">cal!$S$9</definedName>
    <definedName name="UnitsNo">cal!$W$4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6" i="21" l="1"/>
  <c r="I15" i="21" l="1"/>
  <c r="H15" i="21"/>
  <c r="G15" i="21"/>
  <c r="F15" i="21"/>
  <c r="E15" i="21"/>
  <c r="D15" i="21"/>
  <c r="N15" i="20" l="1"/>
  <c r="H15" i="20"/>
  <c r="G15" i="20"/>
  <c r="F15" i="20"/>
  <c r="E15" i="20"/>
  <c r="D15" i="20"/>
  <c r="O15" i="20" l="1"/>
  <c r="P15" i="20"/>
  <c r="J15" i="20"/>
  <c r="I15" i="20"/>
  <c r="P15" i="21" l="1"/>
  <c r="O15" i="21" l="1"/>
  <c r="B34" i="21"/>
  <c r="B28" i="21"/>
  <c r="B22" i="21"/>
  <c r="B34" i="24"/>
  <c r="B28" i="24"/>
  <c r="B22" i="24"/>
  <c r="B16" i="24"/>
  <c r="P15" i="24"/>
  <c r="O15" i="24"/>
  <c r="N15" i="24"/>
  <c r="J15" i="24"/>
  <c r="I15" i="24"/>
  <c r="F15" i="24"/>
  <c r="E15" i="24"/>
  <c r="K12" i="24"/>
  <c r="K11" i="24"/>
  <c r="G11" i="24"/>
  <c r="E11" i="24"/>
  <c r="D15" i="24" s="1"/>
  <c r="K10" i="24"/>
  <c r="G15" i="24" s="1"/>
  <c r="G10" i="24"/>
  <c r="E10" i="24"/>
  <c r="K9" i="24"/>
  <c r="H15" i="24" s="1"/>
  <c r="G9" i="24"/>
  <c r="E9" i="24"/>
  <c r="B34" i="23"/>
  <c r="B28" i="23"/>
  <c r="B22" i="23"/>
  <c r="B16" i="23"/>
  <c r="P15" i="23"/>
  <c r="O15" i="23"/>
  <c r="N15" i="23"/>
  <c r="J15" i="23"/>
  <c r="I15" i="23"/>
  <c r="F15" i="23"/>
  <c r="E15" i="23"/>
  <c r="K12" i="23"/>
  <c r="K11" i="23"/>
  <c r="G11" i="23"/>
  <c r="E11" i="23"/>
  <c r="K10" i="23"/>
  <c r="G15" i="23" s="1"/>
  <c r="G10" i="23"/>
  <c r="E10" i="23"/>
  <c r="K9" i="23"/>
  <c r="H15" i="23" s="1"/>
  <c r="G9" i="23"/>
  <c r="E9" i="23"/>
  <c r="D15" i="23" s="1"/>
  <c r="B34" i="22"/>
  <c r="B28" i="22"/>
  <c r="B22" i="22"/>
  <c r="B16" i="22"/>
  <c r="P15" i="22"/>
  <c r="O15" i="22"/>
  <c r="N15" i="22"/>
  <c r="J15" i="22"/>
  <c r="I15" i="22"/>
  <c r="F15" i="22"/>
  <c r="E15" i="22"/>
  <c r="K12" i="22"/>
  <c r="K11" i="22"/>
  <c r="G11" i="22"/>
  <c r="E11" i="22"/>
  <c r="K10" i="22"/>
  <c r="G15" i="22" s="1"/>
  <c r="G10" i="22"/>
  <c r="E10" i="22"/>
  <c r="K9" i="22"/>
  <c r="H15" i="22" s="1"/>
  <c r="G9" i="22"/>
  <c r="E9" i="22"/>
  <c r="D15" i="22" s="1"/>
  <c r="N15" i="21"/>
  <c r="J15" i="21"/>
  <c r="H15" i="19"/>
  <c r="D15" i="19"/>
  <c r="H15" i="18"/>
  <c r="D15" i="18"/>
  <c r="B10" i="21"/>
  <c r="B9" i="21"/>
  <c r="B34" i="20"/>
  <c r="B28" i="20"/>
  <c r="B22" i="20"/>
  <c r="B16" i="20"/>
  <c r="S7" i="8" l="1"/>
  <c r="G4" i="16" l="1"/>
  <c r="M7" i="8"/>
  <c r="AA4" i="8"/>
  <c r="AA5" i="8"/>
  <c r="AA3" i="8"/>
  <c r="Z4" i="8"/>
  <c r="B40" i="8"/>
  <c r="M34" i="8"/>
  <c r="I34" i="8"/>
  <c r="E34" i="8"/>
  <c r="O28" i="8"/>
  <c r="K28" i="8"/>
  <c r="G28" i="8"/>
  <c r="C28" i="8"/>
  <c r="M22" i="8"/>
  <c r="I22" i="8"/>
  <c r="E22" i="8"/>
  <c r="O15" i="8"/>
  <c r="K15" i="8"/>
  <c r="G15" i="8"/>
  <c r="C15" i="8"/>
  <c r="I28" i="8"/>
  <c r="K22" i="8"/>
  <c r="M15" i="8"/>
  <c r="N34" i="8"/>
  <c r="F34" i="8"/>
  <c r="D28" i="8"/>
  <c r="J22" i="8"/>
  <c r="H15" i="8"/>
  <c r="Z5" i="8"/>
  <c r="P34" i="8"/>
  <c r="L34" i="8"/>
  <c r="H34" i="8"/>
  <c r="D34" i="8"/>
  <c r="N28" i="8"/>
  <c r="J28" i="8"/>
  <c r="F28" i="8"/>
  <c r="P22" i="8"/>
  <c r="L22" i="8"/>
  <c r="H22" i="8"/>
  <c r="D22" i="8"/>
  <c r="N15" i="8"/>
  <c r="J15" i="8"/>
  <c r="F15" i="8"/>
  <c r="B15" i="8"/>
  <c r="M28" i="8"/>
  <c r="O22" i="8"/>
  <c r="C22" i="8"/>
  <c r="E15" i="8"/>
  <c r="B41" i="8"/>
  <c r="P28" i="8"/>
  <c r="H28" i="8"/>
  <c r="F22" i="8"/>
  <c r="L15" i="8"/>
  <c r="Z3" i="8"/>
  <c r="O34" i="8"/>
  <c r="K34" i="8"/>
  <c r="G34" i="8"/>
  <c r="C34" i="8"/>
  <c r="E28" i="8"/>
  <c r="G22" i="8"/>
  <c r="I15" i="8"/>
  <c r="J34" i="8"/>
  <c r="L28" i="8"/>
  <c r="N22" i="8"/>
  <c r="P15" i="8"/>
  <c r="D15" i="8"/>
  <c r="G8" i="8"/>
  <c r="B11" i="8"/>
  <c r="D9" i="8"/>
  <c r="B7" i="8"/>
  <c r="B3" i="8"/>
  <c r="C10" i="8"/>
  <c r="B5" i="8"/>
  <c r="B10" i="8"/>
  <c r="G12" i="8"/>
  <c r="D10" i="8"/>
  <c r="C9" i="8"/>
  <c r="D11" i="8"/>
  <c r="B9" i="8"/>
  <c r="C11" i="8"/>
  <c r="B8" i="8"/>
  <c r="K12" i="21"/>
  <c r="K11" i="21"/>
  <c r="E11" i="21"/>
  <c r="G11" i="21"/>
  <c r="K10" i="21"/>
  <c r="E10" i="21"/>
  <c r="G10" i="21"/>
  <c r="K9" i="21"/>
  <c r="E9" i="21"/>
  <c r="G9" i="21"/>
  <c r="B34" i="8"/>
  <c r="B28" i="8"/>
  <c r="B22" i="8"/>
  <c r="B16" i="8"/>
  <c r="K12" i="20"/>
  <c r="K11" i="20"/>
  <c r="G11" i="20"/>
  <c r="E11" i="20"/>
  <c r="K10" i="20"/>
  <c r="G10" i="20"/>
  <c r="E10" i="20"/>
  <c r="K9" i="20"/>
  <c r="G9" i="20"/>
  <c r="E9" i="20"/>
  <c r="P15" i="9" l="1"/>
  <c r="O15" i="9"/>
  <c r="N15" i="9"/>
  <c r="J15" i="9"/>
  <c r="I15" i="9"/>
  <c r="F15" i="9"/>
  <c r="E15" i="9"/>
  <c r="P15" i="19"/>
  <c r="O15" i="19"/>
  <c r="N15" i="19"/>
  <c r="I15" i="19"/>
  <c r="F15" i="19"/>
  <c r="J15" i="19" s="1"/>
  <c r="E15" i="19"/>
  <c r="B11" i="15"/>
  <c r="B10" i="15"/>
  <c r="B9" i="15"/>
  <c r="B11" i="14"/>
  <c r="B10" i="14"/>
  <c r="B9" i="14"/>
  <c r="B11" i="9"/>
  <c r="B10" i="9"/>
  <c r="B9" i="9"/>
  <c r="O7" i="16"/>
  <c r="K12" i="19"/>
  <c r="K11" i="19"/>
  <c r="G11" i="19"/>
  <c r="E11" i="19"/>
  <c r="K10" i="19"/>
  <c r="G10" i="19"/>
  <c r="E10" i="19"/>
  <c r="K9" i="19"/>
  <c r="G9" i="19"/>
  <c r="E9" i="19"/>
  <c r="G15" i="19" l="1"/>
  <c r="D16" i="8"/>
  <c r="H16" i="8"/>
  <c r="P16" i="8"/>
  <c r="E16" i="8"/>
  <c r="I16" i="8"/>
  <c r="M16" i="8"/>
  <c r="L16" i="8"/>
  <c r="F16" i="8"/>
  <c r="J16" i="8"/>
  <c r="N16" i="8"/>
  <c r="C16" i="8"/>
  <c r="G16" i="8"/>
  <c r="K16" i="8"/>
  <c r="O16" i="8"/>
  <c r="W16" i="8" l="1"/>
  <c r="W17" i="8" s="1"/>
  <c r="L10" i="16" l="1"/>
  <c r="L9" i="16"/>
  <c r="L8" i="16"/>
  <c r="F10" i="16"/>
  <c r="F9" i="16"/>
  <c r="F8" i="16"/>
  <c r="M14" i="8" l="1"/>
  <c r="O14" i="8"/>
  <c r="K14" i="8"/>
  <c r="N15" i="18" l="1"/>
  <c r="I15" i="18"/>
  <c r="E15" i="18"/>
  <c r="F15" i="18"/>
  <c r="J15" i="18" s="1"/>
  <c r="P15" i="15"/>
  <c r="O15" i="15"/>
  <c r="P15" i="14"/>
  <c r="O15" i="14"/>
  <c r="P15" i="13"/>
  <c r="O15" i="13"/>
  <c r="P15" i="18"/>
  <c r="O15" i="18"/>
  <c r="G11" i="18"/>
  <c r="G10" i="18"/>
  <c r="G9" i="18"/>
  <c r="G11" i="15"/>
  <c r="G10" i="15"/>
  <c r="G9" i="15"/>
  <c r="G11" i="14"/>
  <c r="G10" i="14"/>
  <c r="G9" i="14"/>
  <c r="G11" i="13"/>
  <c r="G10" i="13"/>
  <c r="G9" i="13"/>
  <c r="G11" i="9"/>
  <c r="G10" i="9"/>
  <c r="G9" i="9"/>
  <c r="F9" i="8"/>
  <c r="L10" i="8" s="1"/>
  <c r="M9" i="8" l="1"/>
  <c r="M8" i="16" s="1"/>
  <c r="N9" i="8"/>
  <c r="L11" i="8"/>
  <c r="F10" i="8"/>
  <c r="L9" i="8"/>
  <c r="F11" i="8"/>
  <c r="K12" i="8" l="1"/>
  <c r="K12" i="18" s="1"/>
  <c r="K11" i="8"/>
  <c r="K11" i="18" s="1"/>
  <c r="K10" i="8"/>
  <c r="K10" i="18" s="1"/>
  <c r="K9" i="8"/>
  <c r="K9" i="18" s="1"/>
  <c r="G15" i="18" l="1"/>
  <c r="M6" i="16"/>
  <c r="N8" i="8"/>
  <c r="M8" i="8"/>
  <c r="Y11" i="8" s="1"/>
  <c r="Z11" i="8" l="1"/>
  <c r="AA11" i="8" s="1"/>
  <c r="P40" i="8"/>
  <c r="E11" i="8"/>
  <c r="E11" i="18" s="1"/>
  <c r="E10" i="8"/>
  <c r="E10" i="18" s="1"/>
  <c r="E9" i="8"/>
  <c r="E9" i="18" s="1"/>
  <c r="C38" i="16"/>
  <c r="B38" i="16"/>
  <c r="C37" i="16"/>
  <c r="B37" i="16"/>
  <c r="C36" i="16"/>
  <c r="B36" i="16"/>
  <c r="C35" i="16"/>
  <c r="B35" i="16"/>
  <c r="C34" i="16"/>
  <c r="B34" i="16"/>
  <c r="C32" i="16"/>
  <c r="B32" i="16"/>
  <c r="C31" i="16"/>
  <c r="B31" i="16"/>
  <c r="C30" i="16"/>
  <c r="B30" i="16"/>
  <c r="C29" i="16"/>
  <c r="B29" i="16"/>
  <c r="C28" i="16"/>
  <c r="B28" i="16"/>
  <c r="C26" i="16"/>
  <c r="B26" i="16"/>
  <c r="C25" i="16"/>
  <c r="B25" i="16"/>
  <c r="C24" i="16"/>
  <c r="B24" i="16"/>
  <c r="C23" i="16"/>
  <c r="B23" i="16"/>
  <c r="C22" i="16"/>
  <c r="B22" i="16"/>
  <c r="C20" i="16"/>
  <c r="B20" i="16"/>
  <c r="C19" i="16"/>
  <c r="B19" i="16"/>
  <c r="C18" i="16"/>
  <c r="B18" i="16"/>
  <c r="C17" i="16"/>
  <c r="B17" i="16"/>
  <c r="C16" i="16"/>
  <c r="B16" i="16"/>
  <c r="M13" i="16"/>
  <c r="L13" i="16"/>
  <c r="K13" i="16"/>
  <c r="J10" i="16"/>
  <c r="I10" i="16"/>
  <c r="N40" i="24" l="1"/>
  <c r="N40" i="22"/>
  <c r="N40" i="23"/>
  <c r="N40" i="21"/>
  <c r="N40" i="20"/>
  <c r="N40" i="19"/>
  <c r="N40" i="18"/>
  <c r="CG40" i="8"/>
  <c r="BZ40" i="8"/>
  <c r="BE40" i="8"/>
  <c r="AX40" i="8"/>
  <c r="CG34" i="8"/>
  <c r="BZ34" i="8"/>
  <c r="BE34" i="8"/>
  <c r="AX34" i="8"/>
  <c r="CG28" i="8"/>
  <c r="BZ28" i="8"/>
  <c r="BE28" i="8"/>
  <c r="AX28" i="8"/>
  <c r="CG22" i="8"/>
  <c r="BZ22" i="8"/>
  <c r="BE22" i="8"/>
  <c r="AX22" i="8"/>
  <c r="BX40" i="8"/>
  <c r="CE40" i="8"/>
  <c r="CE34" i="8"/>
  <c r="BX34" i="8"/>
  <c r="CE22" i="8"/>
  <c r="CE28" i="8"/>
  <c r="BX28" i="8"/>
  <c r="BX22" i="8"/>
  <c r="BC22" i="8"/>
  <c r="BC28" i="8"/>
  <c r="BC34" i="8"/>
  <c r="BC40" i="8"/>
  <c r="AV40" i="8"/>
  <c r="AV34" i="8"/>
  <c r="AV28" i="8"/>
  <c r="AV22" i="8"/>
  <c r="BS40" i="8"/>
  <c r="BL40" i="8"/>
  <c r="AQ40" i="8"/>
  <c r="AF40" i="8"/>
  <c r="AJ40" i="8"/>
  <c r="BS34" i="8"/>
  <c r="BL34" i="8"/>
  <c r="AQ34" i="8"/>
  <c r="AJ34" i="8"/>
  <c r="BS28" i="8"/>
  <c r="BL28" i="8"/>
  <c r="AQ28" i="8"/>
  <c r="AJ28" i="8"/>
  <c r="BS22" i="8"/>
  <c r="BL22" i="8"/>
  <c r="AQ22" i="8"/>
  <c r="AJ22" i="8"/>
  <c r="BQ22" i="8"/>
  <c r="BQ40" i="8"/>
  <c r="BQ34" i="8"/>
  <c r="BQ28" i="8"/>
  <c r="BJ40" i="8"/>
  <c r="BJ34" i="8"/>
  <c r="BJ28" i="8"/>
  <c r="BJ22" i="8"/>
  <c r="AO22" i="8"/>
  <c r="AO28" i="8"/>
  <c r="AO34" i="8"/>
  <c r="AO40" i="8"/>
  <c r="AH40" i="8"/>
  <c r="AH34" i="8"/>
  <c r="AH28" i="8"/>
  <c r="AH22" i="8"/>
  <c r="CC40" i="8"/>
  <c r="BV40" i="8"/>
  <c r="BV34" i="8"/>
  <c r="CC34" i="8"/>
  <c r="CC28" i="8"/>
  <c r="CC22" i="8"/>
  <c r="BV28" i="8"/>
  <c r="BV22" i="8"/>
  <c r="BO40" i="8"/>
  <c r="BO34" i="8"/>
  <c r="BO28" i="8"/>
  <c r="BO22" i="8"/>
  <c r="BH40" i="8"/>
  <c r="BH34" i="8"/>
  <c r="BH28" i="8"/>
  <c r="BH22" i="8"/>
  <c r="AT40" i="8"/>
  <c r="BA40" i="8"/>
  <c r="BA34" i="8"/>
  <c r="AT34" i="8"/>
  <c r="AT28" i="8"/>
  <c r="BA28" i="8"/>
  <c r="BA22" i="8"/>
  <c r="AT22" i="8"/>
  <c r="AM40" i="8"/>
  <c r="AM34" i="8"/>
  <c r="AM28" i="8"/>
  <c r="AM22" i="8"/>
  <c r="AF34" i="8"/>
  <c r="AF28" i="8"/>
  <c r="AF22" i="8"/>
  <c r="Z28" i="8" l="1"/>
  <c r="AB22" i="8"/>
  <c r="AB28" i="8"/>
  <c r="AB34" i="8"/>
  <c r="AB40" i="8"/>
  <c r="X22" i="8"/>
  <c r="Z40" i="8"/>
  <c r="X40" i="8"/>
  <c r="X28" i="8"/>
  <c r="X34" i="8"/>
  <c r="Z34" i="8"/>
  <c r="Z22" i="8"/>
  <c r="CC38" i="8"/>
  <c r="CE38" i="8"/>
  <c r="CE36" i="8"/>
  <c r="CC36" i="8"/>
  <c r="CC32" i="8"/>
  <c r="CE32" i="8"/>
  <c r="CE30" i="8"/>
  <c r="CC30" i="8"/>
  <c r="CC26" i="8"/>
  <c r="CE26" i="8"/>
  <c r="CE24" i="8"/>
  <c r="CC24" i="8"/>
  <c r="CE20" i="8"/>
  <c r="CE18" i="8"/>
  <c r="CC20" i="8"/>
  <c r="CC18" i="8"/>
  <c r="BV38" i="8"/>
  <c r="BX38" i="8"/>
  <c r="BX36" i="8"/>
  <c r="BV36" i="8"/>
  <c r="BX32" i="8"/>
  <c r="BV32" i="8"/>
  <c r="BX30" i="8"/>
  <c r="BV30" i="8"/>
  <c r="BV26" i="8"/>
  <c r="BX26" i="8"/>
  <c r="BX24" i="8"/>
  <c r="BV24" i="8"/>
  <c r="BV20" i="8"/>
  <c r="BX20" i="8"/>
  <c r="BX18" i="8"/>
  <c r="BV18" i="8"/>
  <c r="BQ38" i="8"/>
  <c r="BQ36" i="8"/>
  <c r="BQ32" i="8"/>
  <c r="BQ30" i="8"/>
  <c r="BQ26" i="8"/>
  <c r="BQ24" i="8"/>
  <c r="BQ20" i="8"/>
  <c r="BQ18" i="8"/>
  <c r="BO38" i="8"/>
  <c r="BO36" i="8"/>
  <c r="BO32" i="8"/>
  <c r="BO30" i="8"/>
  <c r="BO26" i="8"/>
  <c r="BO24" i="8"/>
  <c r="BO20" i="8"/>
  <c r="BO18" i="8"/>
  <c r="BJ38" i="8"/>
  <c r="BJ36" i="8"/>
  <c r="BJ32" i="8"/>
  <c r="BJ30" i="8"/>
  <c r="BJ26" i="8"/>
  <c r="BJ24" i="8"/>
  <c r="BJ20" i="8"/>
  <c r="BJ18" i="8"/>
  <c r="BC18" i="8"/>
  <c r="BC20" i="8"/>
  <c r="BC24" i="8"/>
  <c r="BC26" i="8"/>
  <c r="BC30" i="8"/>
  <c r="BC32" i="8"/>
  <c r="BC36" i="8"/>
  <c r="BC38" i="8"/>
  <c r="BA38" i="8"/>
  <c r="BA36" i="8"/>
  <c r="BA32" i="8"/>
  <c r="BA30" i="8"/>
  <c r="BA26" i="8"/>
  <c r="BA24" i="8"/>
  <c r="BA20" i="8"/>
  <c r="BA18" i="8"/>
  <c r="AV38" i="8"/>
  <c r="AV36" i="8"/>
  <c r="AV32" i="8"/>
  <c r="AV30" i="8"/>
  <c r="AV26" i="8"/>
  <c r="AV24" i="8"/>
  <c r="AV20" i="8"/>
  <c r="AV18" i="8"/>
  <c r="AT38" i="8"/>
  <c r="AT36" i="8"/>
  <c r="AT32" i="8"/>
  <c r="AT30" i="8"/>
  <c r="AT26" i="8"/>
  <c r="AT24" i="8"/>
  <c r="AT20" i="8"/>
  <c r="AT18" i="8"/>
  <c r="AO38" i="8"/>
  <c r="AO36" i="8"/>
  <c r="AO32" i="8"/>
  <c r="AO30" i="8"/>
  <c r="AO26" i="8"/>
  <c r="AO24" i="8"/>
  <c r="AO20" i="8"/>
  <c r="AO18" i="8"/>
  <c r="AM38" i="8"/>
  <c r="AM36" i="8"/>
  <c r="AM32" i="8"/>
  <c r="AM30" i="8"/>
  <c r="AM26" i="8"/>
  <c r="AM24" i="8"/>
  <c r="AM20" i="8"/>
  <c r="AM18" i="8"/>
  <c r="AH38" i="8"/>
  <c r="AH36" i="8"/>
  <c r="AH32" i="8"/>
  <c r="AH30" i="8"/>
  <c r="AH26" i="8"/>
  <c r="AH24" i="8"/>
  <c r="AH20" i="8"/>
  <c r="AH18" i="8"/>
  <c r="B28" i="19" l="1"/>
  <c r="B28" i="18"/>
  <c r="B28" i="15"/>
  <c r="B28" i="14"/>
  <c r="B28" i="13"/>
  <c r="B28" i="9"/>
  <c r="B16" i="18"/>
  <c r="B16" i="13"/>
  <c r="B16" i="15"/>
  <c r="B16" i="9"/>
  <c r="B16" i="19"/>
  <c r="B16" i="14"/>
  <c r="B34" i="19"/>
  <c r="B34" i="18"/>
  <c r="B34" i="15"/>
  <c r="B34" i="14"/>
  <c r="B34" i="13"/>
  <c r="B34" i="9"/>
  <c r="B22" i="19"/>
  <c r="B22" i="18"/>
  <c r="B22" i="15"/>
  <c r="B22" i="14"/>
  <c r="B22" i="13"/>
  <c r="B22" i="9"/>
  <c r="AC39" i="8"/>
  <c r="AB39" i="8"/>
  <c r="M39" i="8" s="1"/>
  <c r="M38" i="16" s="1"/>
  <c r="AA39" i="8"/>
  <c r="L39" i="8" s="1"/>
  <c r="L38" i="16" s="1"/>
  <c r="Z39" i="8"/>
  <c r="Y39" i="8"/>
  <c r="X39" i="8"/>
  <c r="W39" i="8"/>
  <c r="AC38" i="8"/>
  <c r="AB38" i="8"/>
  <c r="M38" i="8" s="1"/>
  <c r="M37" i="16" s="1"/>
  <c r="AA38" i="8"/>
  <c r="L38" i="8" s="1"/>
  <c r="L37" i="16" s="1"/>
  <c r="Z38" i="8"/>
  <c r="Y38" i="8"/>
  <c r="X38" i="8"/>
  <c r="W38" i="8"/>
  <c r="AC37" i="8"/>
  <c r="AB37" i="8"/>
  <c r="M37" i="8" s="1"/>
  <c r="M36" i="16" s="1"/>
  <c r="AA37" i="8"/>
  <c r="L37" i="8" s="1"/>
  <c r="L36" i="16" s="1"/>
  <c r="Z37" i="8"/>
  <c r="Y37" i="8"/>
  <c r="X37" i="8"/>
  <c r="W37" i="8"/>
  <c r="AC36" i="8"/>
  <c r="AB36" i="8"/>
  <c r="M36" i="8" s="1"/>
  <c r="M35" i="16" s="1"/>
  <c r="AA36" i="8"/>
  <c r="L36" i="8" s="1"/>
  <c r="L35" i="16" s="1"/>
  <c r="Z36" i="8"/>
  <c r="Y36" i="8"/>
  <c r="X36" i="8"/>
  <c r="W36" i="8"/>
  <c r="AC35" i="8"/>
  <c r="AB35" i="8"/>
  <c r="M35" i="8" s="1"/>
  <c r="M34" i="16" s="1"/>
  <c r="AA35" i="8"/>
  <c r="L35" i="8" s="1"/>
  <c r="L34" i="16" s="1"/>
  <c r="Z35" i="8"/>
  <c r="Y35" i="8"/>
  <c r="X35" i="8"/>
  <c r="W35" i="8"/>
  <c r="AC33" i="8"/>
  <c r="AB33" i="8"/>
  <c r="M33" i="8" s="1"/>
  <c r="M32" i="16" s="1"/>
  <c r="AA33" i="8"/>
  <c r="L33" i="8" s="1"/>
  <c r="L32" i="16" s="1"/>
  <c r="Z33" i="8"/>
  <c r="Y33" i="8"/>
  <c r="X33" i="8"/>
  <c r="W33" i="8"/>
  <c r="AC32" i="8"/>
  <c r="AB32" i="8"/>
  <c r="M32" i="8" s="1"/>
  <c r="M31" i="16" s="1"/>
  <c r="AA32" i="8"/>
  <c r="L32" i="8" s="1"/>
  <c r="L31" i="16" s="1"/>
  <c r="Z32" i="8"/>
  <c r="Y32" i="8"/>
  <c r="X32" i="8"/>
  <c r="W32" i="8"/>
  <c r="AC31" i="8"/>
  <c r="AB31" i="8"/>
  <c r="M31" i="8" s="1"/>
  <c r="M30" i="16" s="1"/>
  <c r="AA31" i="8"/>
  <c r="L31" i="8" s="1"/>
  <c r="L30" i="16" s="1"/>
  <c r="Z31" i="8"/>
  <c r="Y31" i="8"/>
  <c r="X31" i="8"/>
  <c r="W31" i="8"/>
  <c r="AC30" i="8"/>
  <c r="AB30" i="8"/>
  <c r="M30" i="8" s="1"/>
  <c r="M29" i="16" s="1"/>
  <c r="AA30" i="8"/>
  <c r="L30" i="8" s="1"/>
  <c r="L29" i="16" s="1"/>
  <c r="Z30" i="8"/>
  <c r="Y30" i="8"/>
  <c r="X30" i="8"/>
  <c r="W30" i="8"/>
  <c r="AC29" i="8"/>
  <c r="AB29" i="8"/>
  <c r="M29" i="8" s="1"/>
  <c r="M28" i="16" s="1"/>
  <c r="AA29" i="8"/>
  <c r="L29" i="8" s="1"/>
  <c r="Z29" i="8"/>
  <c r="Y29" i="8"/>
  <c r="X29" i="8"/>
  <c r="W29" i="8"/>
  <c r="AC27" i="8"/>
  <c r="AB27" i="8"/>
  <c r="M27" i="8" s="1"/>
  <c r="M26" i="16" s="1"/>
  <c r="AA27" i="8"/>
  <c r="L27" i="8" s="1"/>
  <c r="L26" i="16" s="1"/>
  <c r="Z27" i="8"/>
  <c r="Y27" i="8"/>
  <c r="X27" i="8"/>
  <c r="W27" i="8"/>
  <c r="AC26" i="8"/>
  <c r="AB26" i="8"/>
  <c r="M26" i="8" s="1"/>
  <c r="M25" i="16" s="1"/>
  <c r="AA26" i="8"/>
  <c r="L26" i="8" s="1"/>
  <c r="L25" i="16" s="1"/>
  <c r="Z26" i="8"/>
  <c r="Y26" i="8"/>
  <c r="X26" i="8"/>
  <c r="W26" i="8"/>
  <c r="AC25" i="8"/>
  <c r="AB25" i="8"/>
  <c r="M25" i="8" s="1"/>
  <c r="M24" i="16" s="1"/>
  <c r="AA25" i="8"/>
  <c r="L25" i="8" s="1"/>
  <c r="L24" i="16" s="1"/>
  <c r="Z25" i="8"/>
  <c r="Y25" i="8"/>
  <c r="X25" i="8"/>
  <c r="W25" i="8"/>
  <c r="AC24" i="8"/>
  <c r="AB24" i="8"/>
  <c r="M24" i="8" s="1"/>
  <c r="M23" i="16" s="1"/>
  <c r="AA24" i="8"/>
  <c r="L24" i="8" s="1"/>
  <c r="L23" i="16" s="1"/>
  <c r="Z24" i="8"/>
  <c r="Y24" i="8"/>
  <c r="X24" i="8"/>
  <c r="W24" i="8"/>
  <c r="AC23" i="8"/>
  <c r="AB23" i="8"/>
  <c r="M23" i="8" s="1"/>
  <c r="M22" i="16" s="1"/>
  <c r="AA23" i="8"/>
  <c r="L23" i="8" s="1"/>
  <c r="L22" i="16" s="1"/>
  <c r="Z23" i="8"/>
  <c r="Y23" i="8"/>
  <c r="X23" i="8"/>
  <c r="W23" i="8"/>
  <c r="AC21" i="8"/>
  <c r="AB21" i="8"/>
  <c r="M21" i="8" s="1"/>
  <c r="M20" i="16" s="1"/>
  <c r="AA21" i="8"/>
  <c r="L21" i="8" s="1"/>
  <c r="L20" i="16" s="1"/>
  <c r="Z21" i="8"/>
  <c r="Y21" i="8"/>
  <c r="X21" i="8"/>
  <c r="W21" i="8"/>
  <c r="AC20" i="8"/>
  <c r="AB20" i="8"/>
  <c r="M20" i="8" s="1"/>
  <c r="M19" i="16" s="1"/>
  <c r="AA20" i="8"/>
  <c r="L20" i="8" s="1"/>
  <c r="L19" i="16" s="1"/>
  <c r="Z20" i="8"/>
  <c r="Y20" i="8"/>
  <c r="X20" i="8"/>
  <c r="W20" i="8"/>
  <c r="AC19" i="8"/>
  <c r="AB19" i="8"/>
  <c r="M19" i="8" s="1"/>
  <c r="M18" i="16" s="1"/>
  <c r="AA19" i="8"/>
  <c r="L19" i="8" s="1"/>
  <c r="L18" i="16" s="1"/>
  <c r="Z19" i="8"/>
  <c r="Y19" i="8"/>
  <c r="X19" i="8"/>
  <c r="W19" i="8"/>
  <c r="AC18" i="8"/>
  <c r="AB18" i="8"/>
  <c r="M18" i="8" s="1"/>
  <c r="M17" i="16" s="1"/>
  <c r="AA18" i="8"/>
  <c r="L18" i="8" s="1"/>
  <c r="L17" i="16" s="1"/>
  <c r="Z18" i="8"/>
  <c r="Y18" i="8"/>
  <c r="X18" i="8"/>
  <c r="W18" i="8"/>
  <c r="AC17" i="8"/>
  <c r="AB17" i="8"/>
  <c r="M17" i="8" s="1"/>
  <c r="M16" i="16" s="1"/>
  <c r="AA17" i="8"/>
  <c r="L17" i="8" s="1"/>
  <c r="L16" i="16" s="1"/>
  <c r="Z17" i="8"/>
  <c r="Y17" i="8"/>
  <c r="X17" i="8"/>
  <c r="CG39" i="8"/>
  <c r="CF39" i="8"/>
  <c r="BZ39" i="8"/>
  <c r="BR39" i="8"/>
  <c r="BE39" i="8"/>
  <c r="BD39" i="8"/>
  <c r="AX39" i="8"/>
  <c r="AP39" i="8"/>
  <c r="CG38" i="8"/>
  <c r="CF38" i="8"/>
  <c r="BZ38" i="8"/>
  <c r="BR38" i="8"/>
  <c r="BE38" i="8"/>
  <c r="BD38" i="8"/>
  <c r="AX38" i="8"/>
  <c r="AP38" i="8"/>
  <c r="CG37" i="8"/>
  <c r="CF37" i="8"/>
  <c r="BZ37" i="8"/>
  <c r="BR37" i="8"/>
  <c r="BE37" i="8"/>
  <c r="BD37" i="8"/>
  <c r="AX37" i="8"/>
  <c r="AP37" i="8"/>
  <c r="CG36" i="8"/>
  <c r="CF36" i="8"/>
  <c r="BZ36" i="8"/>
  <c r="BR36" i="8"/>
  <c r="BE36" i="8"/>
  <c r="BD36" i="8"/>
  <c r="AX36" i="8"/>
  <c r="AP36" i="8"/>
  <c r="CG35" i="8"/>
  <c r="CF35" i="8"/>
  <c r="BZ35" i="8"/>
  <c r="BR35" i="8"/>
  <c r="BE35" i="8"/>
  <c r="BD35" i="8"/>
  <c r="AX35" i="8"/>
  <c r="AP35" i="8"/>
  <c r="CG33" i="8"/>
  <c r="CF33" i="8"/>
  <c r="BZ33" i="8"/>
  <c r="BR33" i="8"/>
  <c r="BE33" i="8"/>
  <c r="BD33" i="8"/>
  <c r="AX33" i="8"/>
  <c r="AP33" i="8"/>
  <c r="CG32" i="8"/>
  <c r="CF32" i="8"/>
  <c r="BZ32" i="8"/>
  <c r="BR32" i="8"/>
  <c r="BE32" i="8"/>
  <c r="BD32" i="8"/>
  <c r="AX32" i="8"/>
  <c r="AP32" i="8"/>
  <c r="CG31" i="8"/>
  <c r="CF31" i="8"/>
  <c r="BZ31" i="8"/>
  <c r="BR31" i="8"/>
  <c r="BE31" i="8"/>
  <c r="BD31" i="8"/>
  <c r="AX31" i="8"/>
  <c r="AP31" i="8"/>
  <c r="CG30" i="8"/>
  <c r="CF30" i="8"/>
  <c r="BZ30" i="8"/>
  <c r="BR30" i="8"/>
  <c r="BE30" i="8"/>
  <c r="BD30" i="8"/>
  <c r="AX30" i="8"/>
  <c r="AP30" i="8"/>
  <c r="CG29" i="8"/>
  <c r="CF29" i="8"/>
  <c r="BZ29" i="8"/>
  <c r="BR29" i="8"/>
  <c r="BE29" i="8"/>
  <c r="BD29" i="8"/>
  <c r="AX29" i="8"/>
  <c r="AP29" i="8"/>
  <c r="CG27" i="8"/>
  <c r="CF27" i="8"/>
  <c r="BZ27" i="8"/>
  <c r="BR27" i="8"/>
  <c r="BE27" i="8"/>
  <c r="BD27" i="8"/>
  <c r="AX27" i="8"/>
  <c r="AP27" i="8"/>
  <c r="CG26" i="8"/>
  <c r="CF26" i="8"/>
  <c r="BZ26" i="8"/>
  <c r="BR26" i="8"/>
  <c r="BE26" i="8"/>
  <c r="BD26" i="8"/>
  <c r="AX26" i="8"/>
  <c r="AP26" i="8"/>
  <c r="CG25" i="8"/>
  <c r="CF25" i="8"/>
  <c r="BZ25" i="8"/>
  <c r="BR25" i="8"/>
  <c r="BE25" i="8"/>
  <c r="BD25" i="8"/>
  <c r="AX25" i="8"/>
  <c r="AP25" i="8"/>
  <c r="CG24" i="8"/>
  <c r="CF24" i="8"/>
  <c r="BZ24" i="8"/>
  <c r="BR24" i="8"/>
  <c r="BE24" i="8"/>
  <c r="BD24" i="8"/>
  <c r="AX24" i="8"/>
  <c r="AP24" i="8"/>
  <c r="CG23" i="8"/>
  <c r="CF23" i="8"/>
  <c r="BZ23" i="8"/>
  <c r="BR23" i="8"/>
  <c r="BE23" i="8"/>
  <c r="BD23" i="8"/>
  <c r="AX23" i="8"/>
  <c r="AP23" i="8"/>
  <c r="CG21" i="8"/>
  <c r="CF21" i="8"/>
  <c r="BZ21" i="8"/>
  <c r="BR21" i="8"/>
  <c r="BE21" i="8"/>
  <c r="BD21" i="8"/>
  <c r="AX21" i="8"/>
  <c r="AP21" i="8"/>
  <c r="CG20" i="8"/>
  <c r="CF20" i="8"/>
  <c r="BZ20" i="8"/>
  <c r="BR20" i="8"/>
  <c r="BE20" i="8"/>
  <c r="BD20" i="8"/>
  <c r="AX20" i="8"/>
  <c r="AP20" i="8"/>
  <c r="CG19" i="8"/>
  <c r="CF19" i="8"/>
  <c r="BZ19" i="8"/>
  <c r="BR19" i="8"/>
  <c r="BE19" i="8"/>
  <c r="BD19" i="8"/>
  <c r="AX19" i="8"/>
  <c r="AP19" i="8"/>
  <c r="CG18" i="8"/>
  <c r="CF18" i="8"/>
  <c r="BZ18" i="8"/>
  <c r="BR18" i="8"/>
  <c r="BE18" i="8"/>
  <c r="BD18" i="8"/>
  <c r="AX18" i="8"/>
  <c r="AP18" i="8"/>
  <c r="CG17" i="8"/>
  <c r="CF17" i="8"/>
  <c r="BZ17" i="8"/>
  <c r="BR17" i="8"/>
  <c r="BE17" i="8"/>
  <c r="BD17" i="8"/>
  <c r="AX17" i="8"/>
  <c r="AP17" i="8"/>
  <c r="K29" i="8" l="1"/>
  <c r="K28" i="16" s="1"/>
  <c r="L28" i="16"/>
  <c r="D17" i="8"/>
  <c r="J14" i="8"/>
  <c r="J13" i="16" s="1"/>
  <c r="F14" i="8"/>
  <c r="F13" i="16" s="1"/>
  <c r="N15" i="15"/>
  <c r="N15" i="14"/>
  <c r="N15" i="13"/>
  <c r="J15" i="15"/>
  <c r="F15" i="15"/>
  <c r="J15" i="14"/>
  <c r="F15" i="14"/>
  <c r="J15" i="13"/>
  <c r="F15" i="13"/>
  <c r="N14" i="8" l="1"/>
  <c r="N13" i="16" s="1"/>
  <c r="I15" i="15"/>
  <c r="I15" i="14"/>
  <c r="I15" i="13"/>
  <c r="E15" i="15"/>
  <c r="E15" i="14"/>
  <c r="E15" i="13"/>
  <c r="N39" i="8" l="1"/>
  <c r="N38" i="16" s="1"/>
  <c r="N35" i="8"/>
  <c r="N34" i="16" s="1"/>
  <c r="N30" i="8"/>
  <c r="N29" i="16" s="1"/>
  <c r="N25" i="8"/>
  <c r="N24" i="16" s="1"/>
  <c r="N20" i="8"/>
  <c r="N19" i="16" s="1"/>
  <c r="N26" i="8"/>
  <c r="N25" i="16" s="1"/>
  <c r="N17" i="8"/>
  <c r="N38" i="8"/>
  <c r="N37" i="16" s="1"/>
  <c r="N33" i="8"/>
  <c r="N32" i="16" s="1"/>
  <c r="N29" i="8"/>
  <c r="N28" i="16" s="1"/>
  <c r="N24" i="8"/>
  <c r="N23" i="16" s="1"/>
  <c r="N19" i="8"/>
  <c r="N18" i="16" s="1"/>
  <c r="N36" i="8"/>
  <c r="N35" i="16" s="1"/>
  <c r="N21" i="8"/>
  <c r="N20" i="16" s="1"/>
  <c r="N37" i="8"/>
  <c r="N36" i="16" s="1"/>
  <c r="N32" i="8"/>
  <c r="N31" i="16" s="1"/>
  <c r="N27" i="8"/>
  <c r="N26" i="16" s="1"/>
  <c r="N23" i="8"/>
  <c r="N22" i="16" s="1"/>
  <c r="N18" i="8"/>
  <c r="N17" i="16" s="1"/>
  <c r="N31" i="8"/>
  <c r="N30" i="16" s="1"/>
  <c r="W11" i="8"/>
  <c r="W10" i="8"/>
  <c r="W9" i="8"/>
  <c r="S11" i="8"/>
  <c r="S10" i="8"/>
  <c r="I14" i="8"/>
  <c r="I13" i="16" s="1"/>
  <c r="E14" i="8"/>
  <c r="E13" i="16" s="1"/>
  <c r="H14" i="8"/>
  <c r="H13" i="16" s="1"/>
  <c r="G14" i="8"/>
  <c r="G13" i="16" s="1"/>
  <c r="D14" i="8"/>
  <c r="N16" i="16" l="1"/>
  <c r="O17" i="8"/>
  <c r="G25" i="8"/>
  <c r="G36" i="8"/>
  <c r="G35" i="16" s="1"/>
  <c r="G39" i="8"/>
  <c r="G38" i="16" s="1"/>
  <c r="G17" i="8"/>
  <c r="G29" i="8"/>
  <c r="G28" i="16" s="1"/>
  <c r="G27" i="8"/>
  <c r="G37" i="8"/>
  <c r="G26" i="8"/>
  <c r="G25" i="16" s="1"/>
  <c r="G23" i="8"/>
  <c r="G22" i="16" s="1"/>
  <c r="G38" i="8"/>
  <c r="G18" i="8"/>
  <c r="G17" i="16" s="1"/>
  <c r="G21" i="8"/>
  <c r="G30" i="8"/>
  <c r="G29" i="16" s="1"/>
  <c r="G20" i="8"/>
  <c r="G33" i="8"/>
  <c r="G32" i="16" s="1"/>
  <c r="G24" i="8"/>
  <c r="G23" i="16" s="1"/>
  <c r="G35" i="8"/>
  <c r="G34" i="16" s="1"/>
  <c r="G19" i="8"/>
  <c r="G18" i="16" s="1"/>
  <c r="G32" i="8"/>
  <c r="G31" i="16" s="1"/>
  <c r="G31" i="8"/>
  <c r="G30" i="16" s="1"/>
  <c r="D13" i="16"/>
  <c r="G16" i="16" l="1"/>
  <c r="P17" i="8"/>
  <c r="H37" i="8"/>
  <c r="H36" i="16" s="1"/>
  <c r="G36" i="16"/>
  <c r="H38" i="8"/>
  <c r="H37" i="16" s="1"/>
  <c r="G37" i="16"/>
  <c r="H27" i="8"/>
  <c r="H26" i="16" s="1"/>
  <c r="G26" i="16"/>
  <c r="H36" i="8"/>
  <c r="H24" i="8"/>
  <c r="H23" i="16" s="1"/>
  <c r="P35" i="8"/>
  <c r="P34" i="16" s="1"/>
  <c r="P23" i="8"/>
  <c r="P22" i="16" s="1"/>
  <c r="H29" i="8"/>
  <c r="H25" i="8"/>
  <c r="H24" i="16" s="1"/>
  <c r="G24" i="16"/>
  <c r="H21" i="8"/>
  <c r="H20" i="16" s="1"/>
  <c r="G20" i="16"/>
  <c r="H19" i="8"/>
  <c r="H18" i="16" s="1"/>
  <c r="P20" i="8"/>
  <c r="P19" i="16" s="1"/>
  <c r="G19" i="16"/>
  <c r="H31" i="8"/>
  <c r="H26" i="8"/>
  <c r="H17" i="8"/>
  <c r="P26" i="8"/>
  <c r="P25" i="16" s="1"/>
  <c r="P21" i="8"/>
  <c r="P20" i="16" s="1"/>
  <c r="P38" i="8"/>
  <c r="P37" i="16" s="1"/>
  <c r="H35" i="8"/>
  <c r="H32" i="8"/>
  <c r="H33" i="8"/>
  <c r="H18" i="8"/>
  <c r="H39" i="8"/>
  <c r="P31" i="8"/>
  <c r="P30" i="16" s="1"/>
  <c r="P27" i="8"/>
  <c r="P26" i="16" s="1"/>
  <c r="P24" i="8"/>
  <c r="P23" i="16" s="1"/>
  <c r="P39" i="8"/>
  <c r="P38" i="16" s="1"/>
  <c r="H20" i="8"/>
  <c r="P36" i="8"/>
  <c r="P35" i="16" s="1"/>
  <c r="P32" i="8"/>
  <c r="P31" i="16" s="1"/>
  <c r="P29" i="8"/>
  <c r="P28" i="16" s="1"/>
  <c r="P25" i="8"/>
  <c r="P24" i="16" s="1"/>
  <c r="P19" i="8"/>
  <c r="P18" i="16" s="1"/>
  <c r="H30" i="8"/>
  <c r="H23" i="8"/>
  <c r="P18" i="8"/>
  <c r="P17" i="16" s="1"/>
  <c r="P37" i="8"/>
  <c r="P36" i="16" s="1"/>
  <c r="P33" i="8"/>
  <c r="P32" i="16" s="1"/>
  <c r="P30" i="8"/>
  <c r="P29" i="16" s="1"/>
  <c r="P16" i="16"/>
  <c r="I27" i="8"/>
  <c r="I26" i="16" s="1"/>
  <c r="I37" i="8"/>
  <c r="I36" i="16" s="1"/>
  <c r="I24" i="8" l="1"/>
  <c r="I23" i="16" s="1"/>
  <c r="I38" i="8"/>
  <c r="I37" i="16" s="1"/>
  <c r="I21" i="8"/>
  <c r="I20" i="16" s="1"/>
  <c r="I32" i="8"/>
  <c r="I31" i="16" s="1"/>
  <c r="H31" i="16"/>
  <c r="I23" i="8"/>
  <c r="I22" i="16" s="1"/>
  <c r="H22" i="16"/>
  <c r="I39" i="8"/>
  <c r="I38" i="16" s="1"/>
  <c r="H38" i="16"/>
  <c r="I29" i="8"/>
  <c r="H28" i="16"/>
  <c r="H35" i="16"/>
  <c r="I36" i="8"/>
  <c r="I35" i="16" s="1"/>
  <c r="I35" i="8"/>
  <c r="I34" i="16" s="1"/>
  <c r="H34" i="16"/>
  <c r="I30" i="8"/>
  <c r="I29" i="16" s="1"/>
  <c r="H29" i="16"/>
  <c r="I26" i="8"/>
  <c r="I25" i="16" s="1"/>
  <c r="H25" i="16"/>
  <c r="I33" i="8"/>
  <c r="I32" i="16" s="1"/>
  <c r="H32" i="16"/>
  <c r="I31" i="8"/>
  <c r="I30" i="16" s="1"/>
  <c r="H30" i="16"/>
  <c r="I20" i="8"/>
  <c r="I19" i="16" s="1"/>
  <c r="H19" i="16"/>
  <c r="I18" i="8"/>
  <c r="I17" i="16" s="1"/>
  <c r="H17" i="16"/>
  <c r="I17" i="8"/>
  <c r="I16" i="16" s="1"/>
  <c r="H16" i="16"/>
  <c r="I25" i="8"/>
  <c r="I24" i="16" s="1"/>
  <c r="I19" i="8"/>
  <c r="I18" i="16" s="1"/>
  <c r="J37" i="8"/>
  <c r="J36" i="16" s="1"/>
  <c r="K39" i="8"/>
  <c r="K38" i="16" s="1"/>
  <c r="K38" i="8"/>
  <c r="K37" i="16" s="1"/>
  <c r="K37" i="8"/>
  <c r="K36" i="16" s="1"/>
  <c r="K36" i="8"/>
  <c r="K35" i="16" s="1"/>
  <c r="K35" i="8"/>
  <c r="K34" i="16" s="1"/>
  <c r="K33" i="8"/>
  <c r="K32" i="16" s="1"/>
  <c r="K32" i="8"/>
  <c r="K31" i="16" s="1"/>
  <c r="K31" i="8"/>
  <c r="K30" i="16" s="1"/>
  <c r="K30" i="8"/>
  <c r="K29" i="16" s="1"/>
  <c r="K27" i="8"/>
  <c r="K26" i="16" s="1"/>
  <c r="K26" i="8"/>
  <c r="K25" i="16" s="1"/>
  <c r="K25" i="8"/>
  <c r="K24" i="16" s="1"/>
  <c r="K24" i="8"/>
  <c r="K23" i="16" s="1"/>
  <c r="K23" i="8"/>
  <c r="K22" i="16" s="1"/>
  <c r="K21" i="8"/>
  <c r="K20" i="16" s="1"/>
  <c r="K20" i="8"/>
  <c r="K19" i="16" s="1"/>
  <c r="K19" i="8"/>
  <c r="K18" i="16" s="1"/>
  <c r="K18" i="8"/>
  <c r="K17" i="16" s="1"/>
  <c r="K17" i="8"/>
  <c r="K16" i="16" s="1"/>
  <c r="J23" i="8" l="1"/>
  <c r="J22" i="16" s="1"/>
  <c r="J24" i="8"/>
  <c r="J23" i="16" s="1"/>
  <c r="J38" i="8"/>
  <c r="J37" i="16" s="1"/>
  <c r="J32" i="8"/>
  <c r="J31" i="16" s="1"/>
  <c r="J33" i="8"/>
  <c r="J32" i="16" s="1"/>
  <c r="J30" i="8"/>
  <c r="J29" i="16" s="1"/>
  <c r="J29" i="8"/>
  <c r="J28" i="16" s="1"/>
  <c r="I28" i="16"/>
  <c r="J20" i="8"/>
  <c r="J19" i="16" s="1"/>
  <c r="J18" i="8"/>
  <c r="J17" i="16" s="1"/>
  <c r="J17" i="8"/>
  <c r="J16" i="16" s="1"/>
  <c r="J39" i="8"/>
  <c r="J38" i="16" s="1"/>
  <c r="J21" i="8"/>
  <c r="J20" i="16" s="1"/>
  <c r="J35" i="8"/>
  <c r="J34" i="16" s="1"/>
  <c r="J27" i="8"/>
  <c r="J26" i="16" s="1"/>
  <c r="J25" i="8"/>
  <c r="J24" i="16" s="1"/>
  <c r="J36" i="8"/>
  <c r="J35" i="16" s="1"/>
  <c r="J31" i="8"/>
  <c r="J30" i="16" s="1"/>
  <c r="J19" i="8"/>
  <c r="J18" i="16" s="1"/>
  <c r="J26" i="8"/>
  <c r="J25" i="16" s="1"/>
  <c r="N40" i="9"/>
  <c r="N40" i="13"/>
  <c r="N40" i="15"/>
  <c r="K12" i="13" l="1"/>
  <c r="K12" i="15"/>
  <c r="K12" i="14"/>
  <c r="K10" i="13"/>
  <c r="K10" i="14"/>
  <c r="K10" i="15"/>
  <c r="K12" i="9"/>
  <c r="K9" i="15"/>
  <c r="K9" i="14"/>
  <c r="K11" i="13"/>
  <c r="K11" i="15"/>
  <c r="K11" i="14"/>
  <c r="K9" i="13"/>
  <c r="K9" i="9"/>
  <c r="K10" i="9"/>
  <c r="K11" i="9"/>
  <c r="G15" i="15" l="1"/>
  <c r="H15" i="9"/>
  <c r="G15" i="9"/>
  <c r="G15" i="13"/>
  <c r="G15" i="14"/>
  <c r="H15" i="15"/>
  <c r="H15" i="13"/>
  <c r="H15" i="14"/>
  <c r="E11" i="15"/>
  <c r="E11" i="14"/>
  <c r="E11" i="9"/>
  <c r="E11" i="13"/>
  <c r="E10" i="14"/>
  <c r="E10" i="13"/>
  <c r="E10" i="9"/>
  <c r="E10" i="15"/>
  <c r="S9" i="8" l="1"/>
  <c r="E9" i="14"/>
  <c r="D15" i="14" s="1"/>
  <c r="E9" i="13"/>
  <c r="D15" i="13" s="1"/>
  <c r="E9" i="15"/>
  <c r="D15" i="15" s="1"/>
  <c r="E9" i="9"/>
  <c r="D15" i="9" s="1"/>
  <c r="D30" i="8" l="1"/>
  <c r="D29" i="16" s="1"/>
  <c r="D32" i="8"/>
  <c r="D31" i="16" s="1"/>
  <c r="D38" i="8"/>
  <c r="D37" i="16" s="1"/>
  <c r="D23" i="8"/>
  <c r="D22" i="16" s="1"/>
  <c r="D19" i="8"/>
  <c r="D18" i="16" s="1"/>
  <c r="D24" i="8"/>
  <c r="D23" i="16" s="1"/>
  <c r="D21" i="8"/>
  <c r="D20" i="16" s="1"/>
  <c r="D33" i="8"/>
  <c r="D32" i="16" s="1"/>
  <c r="D35" i="8"/>
  <c r="D34" i="16" s="1"/>
  <c r="D25" i="8"/>
  <c r="D24" i="16" s="1"/>
  <c r="D16" i="16"/>
  <c r="D29" i="8"/>
  <c r="D28" i="16" s="1"/>
  <c r="D37" i="8"/>
  <c r="D36" i="16" s="1"/>
  <c r="D26" i="8"/>
  <c r="D25" i="16" s="1"/>
  <c r="D31" i="8"/>
  <c r="D30" i="16" s="1"/>
  <c r="D36" i="8"/>
  <c r="D35" i="16" s="1"/>
  <c r="D39" i="8"/>
  <c r="D38" i="16" s="1"/>
  <c r="D27" i="8"/>
  <c r="D26" i="16" s="1"/>
  <c r="D18" i="8"/>
  <c r="D20" i="8"/>
  <c r="D19" i="16" s="1"/>
  <c r="E35" i="8"/>
  <c r="E34" i="16" s="1"/>
  <c r="D17" i="16" l="1"/>
  <c r="O18" i="8"/>
  <c r="F35" i="8"/>
  <c r="F34" i="16" s="1"/>
  <c r="O35" i="8"/>
  <c r="O34" i="16" s="1"/>
  <c r="E20" i="8"/>
  <c r="E19" i="16" s="1"/>
  <c r="O20" i="8"/>
  <c r="O19" i="16" s="1"/>
  <c r="E36" i="8"/>
  <c r="E35" i="16" s="1"/>
  <c r="O36" i="8"/>
  <c r="O35" i="16" s="1"/>
  <c r="E29" i="8"/>
  <c r="E28" i="16" s="1"/>
  <c r="O29" i="8"/>
  <c r="O28" i="16" s="1"/>
  <c r="E33" i="8"/>
  <c r="E32" i="16" s="1"/>
  <c r="O33" i="8"/>
  <c r="O32" i="16" s="1"/>
  <c r="E23" i="8"/>
  <c r="E22" i="16" s="1"/>
  <c r="O23" i="8"/>
  <c r="O22" i="16" s="1"/>
  <c r="E18" i="8"/>
  <c r="E17" i="16" s="1"/>
  <c r="O17" i="16"/>
  <c r="E31" i="8"/>
  <c r="E30" i="16" s="1"/>
  <c r="O31" i="8"/>
  <c r="O30" i="16" s="1"/>
  <c r="E17" i="8"/>
  <c r="E16" i="16" s="1"/>
  <c r="O16" i="16"/>
  <c r="E21" i="8"/>
  <c r="E20" i="16" s="1"/>
  <c r="O21" i="8"/>
  <c r="O20" i="16" s="1"/>
  <c r="E38" i="8"/>
  <c r="O38" i="8"/>
  <c r="O37" i="16" s="1"/>
  <c r="E27" i="8"/>
  <c r="E26" i="16" s="1"/>
  <c r="O27" i="8"/>
  <c r="O26" i="16" s="1"/>
  <c r="E26" i="8"/>
  <c r="E25" i="16" s="1"/>
  <c r="O26" i="8"/>
  <c r="O25" i="16" s="1"/>
  <c r="E25" i="8"/>
  <c r="O25" i="8"/>
  <c r="O24" i="16" s="1"/>
  <c r="E24" i="8"/>
  <c r="E23" i="16" s="1"/>
  <c r="O24" i="8"/>
  <c r="O23" i="16" s="1"/>
  <c r="E32" i="8"/>
  <c r="E31" i="16" s="1"/>
  <c r="O32" i="8"/>
  <c r="O31" i="16" s="1"/>
  <c r="E39" i="8"/>
  <c r="O39" i="8"/>
  <c r="O38" i="16" s="1"/>
  <c r="E37" i="8"/>
  <c r="O37" i="8"/>
  <c r="O36" i="16" s="1"/>
  <c r="E19" i="8"/>
  <c r="E18" i="16" s="1"/>
  <c r="O19" i="8"/>
  <c r="O18" i="16" s="1"/>
  <c r="E30" i="8"/>
  <c r="E29" i="16" s="1"/>
  <c r="O30" i="8"/>
  <c r="O29" i="16" s="1"/>
  <c r="F20" i="8"/>
  <c r="F19" i="16" s="1"/>
  <c r="F36" i="8"/>
  <c r="F35" i="16" s="1"/>
  <c r="F29" i="8"/>
  <c r="F28" i="16" s="1"/>
  <c r="F39" i="8" l="1"/>
  <c r="F38" i="16" s="1"/>
  <c r="E38" i="16"/>
  <c r="F38" i="8"/>
  <c r="F37" i="16" s="1"/>
  <c r="E37" i="16"/>
  <c r="F37" i="8"/>
  <c r="F36" i="16" s="1"/>
  <c r="E36" i="16"/>
  <c r="F25" i="8"/>
  <c r="F24" i="16" s="1"/>
  <c r="E24" i="16"/>
  <c r="F17" i="8"/>
  <c r="F16" i="16" s="1"/>
  <c r="F30" i="8"/>
  <c r="F29" i="16" s="1"/>
  <c r="F27" i="8"/>
  <c r="F26" i="16" s="1"/>
  <c r="F31" i="8"/>
  <c r="F30" i="16" s="1"/>
  <c r="F24" i="8"/>
  <c r="F23" i="16" s="1"/>
  <c r="F32" i="8"/>
  <c r="F31" i="16" s="1"/>
  <c r="F23" i="8"/>
  <c r="F22" i="16" s="1"/>
  <c r="F33" i="8"/>
  <c r="F32" i="16" s="1"/>
  <c r="F26" i="8"/>
  <c r="F25" i="16" s="1"/>
  <c r="F19" i="8"/>
  <c r="F18" i="16" s="1"/>
  <c r="F18" i="8"/>
  <c r="F17" i="16" s="1"/>
  <c r="F21" i="8"/>
  <c r="F20" i="16" s="1"/>
  <c r="B8" i="16"/>
  <c r="J9" i="8"/>
  <c r="J8" i="16" s="1"/>
  <c r="H11" i="8"/>
  <c r="H10" i="16" s="1"/>
  <c r="H14" i="16"/>
  <c r="J14" i="16"/>
  <c r="G7" i="16"/>
  <c r="O14" i="16"/>
  <c r="D8" i="16"/>
  <c r="D10" i="16"/>
  <c r="P14" i="16"/>
  <c r="J10" i="8"/>
  <c r="J9" i="16" s="1"/>
  <c r="G9" i="8"/>
  <c r="G8" i="16" s="1"/>
  <c r="L14" i="16"/>
  <c r="D14" i="16"/>
  <c r="B39" i="16"/>
  <c r="G11" i="16"/>
  <c r="B14" i="16"/>
  <c r="D9" i="16"/>
  <c r="C14" i="16"/>
  <c r="B27" i="16"/>
  <c r="I10" i="8"/>
  <c r="I9" i="16" s="1"/>
  <c r="G10" i="8"/>
  <c r="G9" i="16" s="1"/>
  <c r="M14" i="16"/>
  <c r="H9" i="8"/>
  <c r="H8" i="16" s="1"/>
  <c r="C10" i="16"/>
  <c r="K14" i="16"/>
  <c r="C9" i="16"/>
  <c r="N14" i="16"/>
  <c r="I9" i="8"/>
  <c r="I8" i="16" s="1"/>
  <c r="F14" i="16"/>
  <c r="B40" i="16"/>
  <c r="C8" i="16"/>
  <c r="B7" i="16"/>
  <c r="B10" i="16"/>
  <c r="G11" i="8"/>
  <c r="G10" i="16" s="1"/>
  <c r="B21" i="16"/>
  <c r="B15" i="16"/>
  <c r="B6" i="16"/>
  <c r="G14" i="16"/>
  <c r="H10" i="8"/>
  <c r="H9" i="16" s="1"/>
  <c r="E14" i="16"/>
  <c r="I14" i="16"/>
  <c r="B33" i="16"/>
  <c r="B9" i="16" l="1"/>
</calcChain>
</file>

<file path=xl/sharedStrings.xml><?xml version="1.0" encoding="utf-8"?>
<sst xmlns="http://schemas.openxmlformats.org/spreadsheetml/2006/main" count="655" uniqueCount="235">
  <si>
    <t>Heizen:</t>
  </si>
  <si>
    <t>Eingabefelder</t>
  </si>
  <si>
    <t>Temperaturen</t>
  </si>
  <si>
    <t>Auslegungsrandbedingungen</t>
  </si>
  <si>
    <t>Leistungsaufnahme [W]</t>
  </si>
  <si>
    <t>Kühlen:</t>
  </si>
  <si>
    <t>n-value</t>
  </si>
  <si>
    <t>Verwarmen:</t>
  </si>
  <si>
    <t>Koelen:</t>
  </si>
  <si>
    <t>Opgenomen elektr. vermogen [W]</t>
  </si>
  <si>
    <t>Randvoorwaarden</t>
  </si>
  <si>
    <t>Invulformulier</t>
  </si>
  <si>
    <t>Temperatures</t>
  </si>
  <si>
    <t>Heating:</t>
  </si>
  <si>
    <t>Cooling:</t>
  </si>
  <si>
    <t>Control voltage [V]</t>
  </si>
  <si>
    <t>Electrical power [W]</t>
  </si>
  <si>
    <t>Conditions</t>
  </si>
  <si>
    <t>Niveau de vitesse</t>
  </si>
  <si>
    <t>Formulary</t>
  </si>
  <si>
    <t>Formulaire</t>
  </si>
  <si>
    <t>Voltage [V]</t>
  </si>
  <si>
    <t>Refroidir:</t>
  </si>
  <si>
    <t>Puissance absorbée [W]</t>
  </si>
  <si>
    <t>Températures</t>
  </si>
  <si>
    <t>Chauffer:</t>
  </si>
  <si>
    <t>Q_verw</t>
  </si>
  <si>
    <t>dP_verw</t>
  </si>
  <si>
    <t>a</t>
  </si>
  <si>
    <t>b</t>
  </si>
  <si>
    <t>Temp</t>
  </si>
  <si>
    <t>Briza 12 H41 2P casing</t>
  </si>
  <si>
    <t>Briza 12 H41 4P casing</t>
  </si>
  <si>
    <t>Briza 12 H55 2P casing</t>
  </si>
  <si>
    <t>Briza 12 H55 4P casing</t>
  </si>
  <si>
    <t>Q_voelb_c</t>
  </si>
  <si>
    <t>dP_cool</t>
  </si>
  <si>
    <t>Geluid_P</t>
  </si>
  <si>
    <t>P_elek</t>
  </si>
  <si>
    <t>V_air</t>
  </si>
  <si>
    <t>H</t>
  </si>
  <si>
    <t>B</t>
  </si>
  <si>
    <t>L</t>
  </si>
  <si>
    <t>Puissance sonore * [dB(A)]</t>
  </si>
  <si>
    <t>Pression sonore ** [dB(A)]</t>
  </si>
  <si>
    <t>Schallleistungspegel * [dB(A)]</t>
  </si>
  <si>
    <t>Schalldruckpegel ** [dB(A)]</t>
  </si>
  <si>
    <t>Sound pressure ** [dB(A)]</t>
  </si>
  <si>
    <t>Sound power * [dB(A)]</t>
  </si>
  <si>
    <t>Geluidsdruk ** [dB(A)]</t>
  </si>
  <si>
    <t>Geluidsvermogen * [dB(A)]</t>
  </si>
  <si>
    <t>*Geluidsvermogen gemeten volgens ISO 3741:2010</t>
  </si>
  <si>
    <t>**Geluidsdruk bij een aangenomen ruimtedemping van 8 dB(A)</t>
  </si>
  <si>
    <t>*Sound power according to ISO 3741:2010</t>
  </si>
  <si>
    <t>**Sound pressure with an assumed room damping of 8dB(A)</t>
  </si>
  <si>
    <t>*Schallleistungspegel nach ISO 3741:2010</t>
  </si>
  <si>
    <t>**Schalldruckpegel bei angenommener Raumdämpfung von 8dB(A)</t>
  </si>
  <si>
    <t>*Puissance sonore testé selon ISO 3741:2010</t>
  </si>
  <si>
    <t>**Pression sonore avec une atténuation ambiante du 8dB(A)</t>
  </si>
  <si>
    <t>c</t>
  </si>
  <si>
    <t>d</t>
  </si>
  <si>
    <t>e</t>
  </si>
  <si>
    <t>f</t>
  </si>
  <si>
    <t>g</t>
  </si>
  <si>
    <t>p_atm</t>
  </si>
  <si>
    <t>Briza 12</t>
  </si>
  <si>
    <t>Briza 12 H38 2P built-in</t>
  </si>
  <si>
    <t>Briza 12 H38 4P built-in</t>
  </si>
  <si>
    <t>Briza 12 H52 2P built-in</t>
  </si>
  <si>
    <t>Briza 12 H52 4P built-in</t>
  </si>
  <si>
    <t>h[mm]</t>
  </si>
  <si>
    <t>cf_h</t>
  </si>
  <si>
    <t>Norsk</t>
  </si>
  <si>
    <t>Français</t>
  </si>
  <si>
    <t>English</t>
  </si>
  <si>
    <t>Nederlands</t>
  </si>
  <si>
    <t>Deutsch</t>
  </si>
  <si>
    <t>Temperaturer</t>
  </si>
  <si>
    <t>Varme:</t>
  </si>
  <si>
    <t>Kjøling:</t>
  </si>
  <si>
    <t>Modell</t>
  </si>
  <si>
    <t>Væske blanding:</t>
  </si>
  <si>
    <t>Modell:</t>
  </si>
  <si>
    <t>Elektrisk effekt [W]</t>
  </si>
  <si>
    <t>Mélange hydraulique:</t>
  </si>
  <si>
    <t>Appareil - Ventilateur - Version:</t>
  </si>
  <si>
    <t>Hydraulikgemisch:</t>
  </si>
  <si>
    <t>Gerät - Lüfter - Ausfürhung:</t>
  </si>
  <si>
    <t>Hydraulic mix:</t>
  </si>
  <si>
    <t>Device - Ventilator - Utilization:</t>
  </si>
  <si>
    <t>Hydraulisch mengsel:</t>
  </si>
  <si>
    <t>Toestel - Ventilator - Uitvoering:</t>
  </si>
  <si>
    <t>Selectiontool</t>
  </si>
  <si>
    <t>Temp.</t>
  </si>
  <si>
    <t>verw.!</t>
  </si>
  <si>
    <t>koelen!</t>
  </si>
  <si>
    <t>heating!</t>
  </si>
  <si>
    <t>cooling!</t>
  </si>
  <si>
    <t>heizen!</t>
  </si>
  <si>
    <t>kühlen!</t>
  </si>
  <si>
    <t>chauf.!</t>
  </si>
  <si>
    <t>refr.!</t>
  </si>
  <si>
    <t>varme!</t>
  </si>
  <si>
    <t>kjøling!</t>
  </si>
  <si>
    <t>Español</t>
  </si>
  <si>
    <t>Eenheidsstelsel</t>
  </si>
  <si>
    <t>Unit conversion</t>
  </si>
  <si>
    <t>Einheiten</t>
  </si>
  <si>
    <t>Système unitaire</t>
  </si>
  <si>
    <t>Enhetssystem</t>
  </si>
  <si>
    <t>Convers. de unidades</t>
  </si>
  <si>
    <t>Relatieve vochtigheid</t>
  </si>
  <si>
    <t>hoogte</t>
  </si>
  <si>
    <t>breedte</t>
  </si>
  <si>
    <t>lengte</t>
  </si>
  <si>
    <t>Supply water</t>
  </si>
  <si>
    <t>Return water</t>
  </si>
  <si>
    <t>Entering air</t>
  </si>
  <si>
    <t>Relative humidity</t>
  </si>
  <si>
    <t>height</t>
  </si>
  <si>
    <t>width</t>
  </si>
  <si>
    <t>length</t>
  </si>
  <si>
    <t>Relative Luftfeuchtigkeit</t>
  </si>
  <si>
    <t>höhe</t>
  </si>
  <si>
    <t>breite</t>
  </si>
  <si>
    <t>länge</t>
  </si>
  <si>
    <t>Humidité relative</t>
  </si>
  <si>
    <t>hauteur</t>
  </si>
  <si>
    <t>largeur</t>
  </si>
  <si>
    <t>longueur</t>
  </si>
  <si>
    <t>Tur vann</t>
  </si>
  <si>
    <t>Retur vann</t>
  </si>
  <si>
    <t>Rom</t>
  </si>
  <si>
    <t>Relativ fuktighet</t>
  </si>
  <si>
    <t>høyde</t>
  </si>
  <si>
    <t>bredde</t>
  </si>
  <si>
    <t>lengde</t>
  </si>
  <si>
    <t>Temperaturas</t>
  </si>
  <si>
    <t>Calefacción:</t>
  </si>
  <si>
    <t>Agua impulsión</t>
  </si>
  <si>
    <t>Agua retorno</t>
  </si>
  <si>
    <t>Ambiente</t>
  </si>
  <si>
    <t>Humedad relativa</t>
  </si>
  <si>
    <t>Enfriamiento:</t>
  </si>
  <si>
    <t xml:space="preserve"> Voltaje control [V]</t>
  </si>
  <si>
    <t>Potencia eléctrica absorbida [W]</t>
  </si>
  <si>
    <t>calefac.</t>
  </si>
  <si>
    <t>enfria.</t>
  </si>
  <si>
    <t>altura</t>
  </si>
  <si>
    <t>ancho</t>
  </si>
  <si>
    <t>longitud</t>
  </si>
  <si>
    <t>**Potencia sonora de acuerdo a ISO 3741:2010</t>
  </si>
  <si>
    <t>***Presión sonora asumiendo una reducción de la estancia de  8dB(A)</t>
  </si>
  <si>
    <t>**Sound power according to ISO 3741:2010</t>
  </si>
  <si>
    <t>***Sound pressure with an assumed room damping of 8dB(A)</t>
  </si>
  <si>
    <t>Svenska</t>
  </si>
  <si>
    <t>Čeština</t>
  </si>
  <si>
    <t>ExtraTaal1</t>
  </si>
  <si>
    <t>ExtraTaal2</t>
  </si>
  <si>
    <t>ExtraTaal3</t>
  </si>
  <si>
    <t xml:space="preserve">*Akustický tlak podle ISO 3741:2010 </t>
  </si>
  <si>
    <t>**Akustický výkon s předpokládaným útlumem místnosti 8 dB (A).</t>
  </si>
  <si>
    <t>Värme:</t>
  </si>
  <si>
    <t>Kyla:</t>
  </si>
  <si>
    <t>Tillopp</t>
  </si>
  <si>
    <t>Retur</t>
  </si>
  <si>
    <t>Rum (torr)</t>
  </si>
  <si>
    <t>rel. Fuktighet</t>
  </si>
  <si>
    <t>Spänning, Fläkt [V]</t>
  </si>
  <si>
    <t>Teploty</t>
  </si>
  <si>
    <t>Topení:</t>
  </si>
  <si>
    <t>Těleso - Ventilátor - Verze:</t>
  </si>
  <si>
    <t>Směs vody:</t>
  </si>
  <si>
    <t>Chlazení:</t>
  </si>
  <si>
    <t>Relativní vlhkost</t>
  </si>
  <si>
    <t>Převod jednotek</t>
  </si>
  <si>
    <t>Kopírovat všechna data</t>
  </si>
  <si>
    <t>Mezinárodní (Sl)</t>
  </si>
  <si>
    <t>Imperiální</t>
  </si>
  <si>
    <t>Ovládací napětí [V]</t>
  </si>
  <si>
    <t>Stuurspanning [V]</t>
  </si>
  <si>
    <t>Regelspannung [V]</t>
  </si>
  <si>
    <t>Styresignal [V]</t>
  </si>
  <si>
    <t>Drehzahlstufe</t>
  </si>
  <si>
    <t>Snelheidsniveau</t>
  </si>
  <si>
    <t>Speed level</t>
  </si>
  <si>
    <t>Lydtrykk ** [dB(A)]</t>
  </si>
  <si>
    <t>Lydeffekt * [dB(A)]</t>
  </si>
  <si>
    <t>Presión sonora ** [dB(A)]</t>
  </si>
  <si>
    <t>Potencia sonora * [dB(A)]</t>
  </si>
  <si>
    <t>Hastighet</t>
  </si>
  <si>
    <t>Nivel de velocidad</t>
  </si>
  <si>
    <t>Fläkthastighet</t>
  </si>
  <si>
    <t>Rychlost</t>
  </si>
  <si>
    <t>Akustický tlak ** [dB(A)]</t>
  </si>
  <si>
    <t>Akustický výkon * [dB(A)]</t>
  </si>
  <si>
    <t>Elektrický výkon [W]</t>
  </si>
  <si>
    <t>topení!</t>
  </si>
  <si>
    <t>chlazení!</t>
  </si>
  <si>
    <t>Kopiera all data</t>
  </si>
  <si>
    <t>SI-enheter</t>
  </si>
  <si>
    <t>Imperiella-enheter</t>
  </si>
  <si>
    <t>Copiar todos los datos</t>
  </si>
  <si>
    <t>Unidades-SI</t>
  </si>
  <si>
    <t>Unidades-Imperial</t>
  </si>
  <si>
    <t>Kopier alle data</t>
  </si>
  <si>
    <t>Imperiale-enheter</t>
  </si>
  <si>
    <t>Copier toutes des données</t>
  </si>
  <si>
    <t>Unités-SI</t>
  </si>
  <si>
    <t>Unités-Impériales</t>
  </si>
  <si>
    <t>Kopieren Sie alle daten</t>
  </si>
  <si>
    <t>SI-einheiten</t>
  </si>
  <si>
    <t>Imperiale-einheiten</t>
  </si>
  <si>
    <t>Copy all data</t>
  </si>
  <si>
    <t>SI-units</t>
  </si>
  <si>
    <t>Imperial-units</t>
  </si>
  <si>
    <t>Kopieer alle data</t>
  </si>
  <si>
    <t>SI-eenheden</t>
  </si>
  <si>
    <t>Imperiale-eenheden</t>
  </si>
  <si>
    <t>höjd</t>
  </si>
  <si>
    <t>djup</t>
  </si>
  <si>
    <t>längd</t>
  </si>
  <si>
    <t>värme!</t>
  </si>
  <si>
    <t>kyla!</t>
  </si>
  <si>
    <t>Ljudtryck ** [dB(A)]</t>
  </si>
  <si>
    <t>Ljudeffekt * [dB(A)]</t>
  </si>
  <si>
    <t>Effektförbrukning [W]</t>
  </si>
  <si>
    <t>*Ljudeffekt enligt ISO 3741: 2010</t>
  </si>
  <si>
    <t>**Ljudtryck med en antagen rumsdämpning på 8dB (A)</t>
  </si>
  <si>
    <t>Taal/Language/Sprache/Språk/Jazyk</t>
  </si>
  <si>
    <t>Výška</t>
  </si>
  <si>
    <t>"Suchá" teplota vzduchu</t>
  </si>
  <si>
    <t>Šířka</t>
  </si>
  <si>
    <t>Délka</t>
  </si>
  <si>
    <t>v2021-04-26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</si>
</sst>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"/>
    <numFmt numFmtId="166" formatCode="0.00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7" tint="0.79998168889431442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F2F2F2"/>
      <name val="Calibri"/>
      <family val="2"/>
      <scheme val="minor"/>
    </font>
    <font>
      <i/>
      <sz val="12"/>
      <name val="Calibri"/>
      <family val="2"/>
      <scheme val="minor"/>
    </font>
    <font>
      <sz val="9"/>
      <name val="Calibri"/>
      <family val="2"/>
      <scheme val="minor"/>
    </font>
    <font>
      <b/>
      <sz val="20"/>
      <color theme="1"/>
      <name val="Eurostile#2-Extended"/>
      <family val="2"/>
    </font>
    <font>
      <b/>
      <i/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Up"/>
    </fill>
    <fill>
      <patternFill patternType="solid">
        <fgColor rgb="FFE0E0E0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thin">
        <color theme="0" tint="-0.34998626667073579"/>
      </right>
      <top/>
      <bottom style="thin">
        <color theme="6"/>
      </bottom>
      <diagonal/>
    </border>
    <border>
      <left/>
      <right/>
      <top style="thin">
        <color theme="6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theme="0" tint="-0.24994659260841701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77111117893"/>
      </left>
      <right style="hair">
        <color theme="0" tint="-0.34998626667073579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hair">
        <color theme="0" tint="-0.34998626667073579"/>
      </left>
      <right/>
      <top style="thin">
        <color theme="0" tint="-0.34998626667073579"/>
      </top>
      <bottom/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2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2" fontId="0" fillId="2" borderId="0" xfId="0" applyNumberFormat="1" applyFill="1" applyBorder="1" applyAlignment="1">
      <alignment horizontal="center" vertical="center"/>
    </xf>
    <xf numFmtId="0" fontId="2" fillId="2" borderId="0" xfId="0" applyFont="1" applyFill="1" applyBorder="1"/>
    <xf numFmtId="0" fontId="0" fillId="3" borderId="0" xfId="0" applyFill="1" applyBorder="1"/>
    <xf numFmtId="0" fontId="1" fillId="3" borderId="0" xfId="0" applyFont="1" applyFill="1" applyBorder="1"/>
    <xf numFmtId="0" fontId="1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1" fillId="3" borderId="5" xfId="0" applyFont="1" applyFill="1" applyBorder="1"/>
    <xf numFmtId="0" fontId="0" fillId="3" borderId="6" xfId="0" applyFill="1" applyBorder="1"/>
    <xf numFmtId="0" fontId="0" fillId="3" borderId="5" xfId="0" applyFill="1" applyBorder="1"/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0" fillId="3" borderId="8" xfId="0" applyFill="1" applyBorder="1"/>
    <xf numFmtId="0" fontId="0" fillId="3" borderId="9" xfId="0" applyFill="1" applyBorder="1"/>
    <xf numFmtId="0" fontId="1" fillId="3" borderId="0" xfId="0" applyFont="1" applyFill="1" applyBorder="1" applyAlignment="1">
      <alignment horizontal="center" vertical="center" textRotation="90" wrapText="1"/>
    </xf>
    <xf numFmtId="0" fontId="3" fillId="3" borderId="0" xfId="0" applyFont="1" applyFill="1" applyBorder="1" applyAlignment="1">
      <alignment horizontal="center" vertical="center" textRotation="90" wrapText="1"/>
    </xf>
    <xf numFmtId="0" fontId="1" fillId="2" borderId="0" xfId="0" applyFont="1" applyFill="1" applyBorder="1"/>
    <xf numFmtId="49" fontId="7" fillId="4" borderId="10" xfId="0" applyNumberFormat="1" applyFont="1" applyFill="1" applyBorder="1"/>
    <xf numFmtId="0" fontId="8" fillId="4" borderId="1" xfId="0" applyFont="1" applyFill="1" applyBorder="1" applyAlignment="1">
      <alignment horizontal="left"/>
    </xf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vertical="center" textRotation="90" wrapText="1"/>
    </xf>
    <xf numFmtId="1" fontId="0" fillId="2" borderId="5" xfId="0" applyNumberFormat="1" applyFill="1" applyBorder="1" applyAlignment="1">
      <alignment horizontal="center" vertical="center"/>
    </xf>
    <xf numFmtId="0" fontId="6" fillId="2" borderId="0" xfId="0" applyFont="1" applyFill="1" applyBorder="1"/>
    <xf numFmtId="0" fontId="9" fillId="3" borderId="0" xfId="0" applyFont="1" applyFill="1" applyBorder="1"/>
    <xf numFmtId="0" fontId="1" fillId="3" borderId="3" xfId="0" applyFont="1" applyFill="1" applyBorder="1" applyAlignment="1">
      <alignment horizontal="center" vertical="center" textRotation="90" wrapText="1"/>
    </xf>
    <xf numFmtId="2" fontId="0" fillId="2" borderId="6" xfId="0" applyNumberForma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center" vertical="center" textRotation="90" wrapText="1"/>
    </xf>
    <xf numFmtId="9" fontId="0" fillId="2" borderId="5" xfId="0" applyNumberFormat="1" applyFill="1" applyBorder="1"/>
    <xf numFmtId="0" fontId="10" fillId="2" borderId="6" xfId="0" applyFont="1" applyFill="1" applyBorder="1" applyAlignment="1">
      <alignment horizontal="center" vertical="center"/>
    </xf>
    <xf numFmtId="9" fontId="0" fillId="2" borderId="14" xfId="0" applyNumberFormat="1" applyFill="1" applyBorder="1"/>
    <xf numFmtId="0" fontId="0" fillId="2" borderId="15" xfId="0" applyFill="1" applyBorder="1" applyAlignment="1">
      <alignment horizontal="center" vertical="center"/>
    </xf>
    <xf numFmtId="1" fontId="0" fillId="2" borderId="14" xfId="0" applyNumberFormat="1" applyFill="1" applyBorder="1" applyAlignment="1">
      <alignment horizontal="center" vertical="center"/>
    </xf>
    <xf numFmtId="1" fontId="0" fillId="2" borderId="15" xfId="0" applyNumberFormat="1" applyFill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2" fontId="0" fillId="2" borderId="15" xfId="0" applyNumberForma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1" fontId="0" fillId="2" borderId="6" xfId="0" applyNumberFormat="1" applyFill="1" applyBorder="1" applyAlignment="1">
      <alignment horizontal="center" vertical="center"/>
    </xf>
    <xf numFmtId="1" fontId="0" fillId="2" borderId="16" xfId="0" applyNumberFormat="1" applyFill="1" applyBorder="1" applyAlignment="1">
      <alignment horizontal="center" vertical="center"/>
    </xf>
    <xf numFmtId="9" fontId="0" fillId="4" borderId="1" xfId="0" applyNumberForma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>
      <alignment horizontal="right"/>
    </xf>
    <xf numFmtId="164" fontId="10" fillId="2" borderId="0" xfId="0" applyNumberFormat="1" applyFont="1" applyFill="1" applyBorder="1" applyAlignment="1">
      <alignment horizontal="center" vertical="center"/>
    </xf>
    <xf numFmtId="0" fontId="0" fillId="2" borderId="17" xfId="0" applyFill="1" applyBorder="1"/>
    <xf numFmtId="0" fontId="0" fillId="3" borderId="0" xfId="0" applyFill="1" applyBorder="1" applyAlignment="1">
      <alignment horizontal="left"/>
    </xf>
    <xf numFmtId="0" fontId="0" fillId="2" borderId="0" xfId="0" applyFill="1" applyBorder="1" applyProtection="1">
      <protection locked="0"/>
    </xf>
    <xf numFmtId="0" fontId="1" fillId="2" borderId="0" xfId="0" applyFont="1" applyFill="1" applyBorder="1" applyProtection="1"/>
    <xf numFmtId="0" fontId="0" fillId="2" borderId="0" xfId="0" applyFill="1" applyBorder="1" applyProtection="1"/>
    <xf numFmtId="0" fontId="8" fillId="4" borderId="1" xfId="0" applyFont="1" applyFill="1" applyBorder="1" applyAlignment="1" applyProtection="1">
      <alignment horizontal="left"/>
    </xf>
    <xf numFmtId="49" fontId="7" fillId="4" borderId="10" xfId="0" applyNumberFormat="1" applyFont="1" applyFill="1" applyBorder="1" applyProtection="1"/>
    <xf numFmtId="0" fontId="6" fillId="2" borderId="0" xfId="0" applyFont="1" applyFill="1" applyBorder="1" applyProtection="1"/>
    <xf numFmtId="0" fontId="1" fillId="3" borderId="2" xfId="0" applyFont="1" applyFill="1" applyBorder="1" applyProtection="1"/>
    <xf numFmtId="0" fontId="0" fillId="3" borderId="3" xfId="0" applyFill="1" applyBorder="1" applyProtection="1"/>
    <xf numFmtId="0" fontId="1" fillId="3" borderId="5" xfId="0" applyFont="1" applyFill="1" applyBorder="1" applyProtection="1"/>
    <xf numFmtId="0" fontId="0" fillId="3" borderId="0" xfId="0" applyFill="1" applyBorder="1" applyProtection="1"/>
    <xf numFmtId="0" fontId="0" fillId="2" borderId="0" xfId="0" applyFill="1" applyProtection="1"/>
    <xf numFmtId="0" fontId="1" fillId="3" borderId="0" xfId="0" applyFont="1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5" xfId="0" applyFill="1" applyBorder="1" applyProtection="1"/>
    <xf numFmtId="9" fontId="0" fillId="4" borderId="1" xfId="0" applyNumberForma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left"/>
    </xf>
    <xf numFmtId="0" fontId="1" fillId="3" borderId="8" xfId="0" applyFont="1" applyFill="1" applyBorder="1" applyAlignment="1" applyProtection="1">
      <alignment horizontal="left"/>
    </xf>
    <xf numFmtId="0" fontId="0" fillId="3" borderId="8" xfId="0" applyFill="1" applyBorder="1" applyProtection="1"/>
    <xf numFmtId="0" fontId="0" fillId="2" borderId="0" xfId="0" applyFill="1" applyAlignment="1" applyProtection="1">
      <alignment horizontal="center" vertical="center" wrapText="1"/>
    </xf>
    <xf numFmtId="9" fontId="0" fillId="2" borderId="5" xfId="0" applyNumberFormat="1" applyFill="1" applyBorder="1" applyProtection="1"/>
    <xf numFmtId="0" fontId="0" fillId="2" borderId="0" xfId="0" applyFill="1" applyBorder="1" applyAlignment="1" applyProtection="1">
      <alignment horizontal="center" vertical="center"/>
    </xf>
    <xf numFmtId="1" fontId="0" fillId="2" borderId="5" xfId="0" applyNumberFormat="1" applyFill="1" applyBorder="1" applyAlignment="1" applyProtection="1">
      <alignment horizontal="center" vertical="center"/>
    </xf>
    <xf numFmtId="1" fontId="0" fillId="2" borderId="0" xfId="0" applyNumberFormat="1" applyFill="1" applyBorder="1" applyAlignment="1" applyProtection="1">
      <alignment horizontal="center" vertical="center"/>
    </xf>
    <xf numFmtId="2" fontId="0" fillId="2" borderId="6" xfId="0" applyNumberFormat="1" applyFill="1" applyBorder="1" applyAlignment="1" applyProtection="1">
      <alignment horizontal="center" vertical="center"/>
    </xf>
    <xf numFmtId="2" fontId="0" fillId="2" borderId="0" xfId="0" applyNumberFormat="1" applyFill="1" applyBorder="1" applyAlignment="1" applyProtection="1">
      <alignment horizontal="center" vertical="center"/>
    </xf>
    <xf numFmtId="164" fontId="10" fillId="2" borderId="0" xfId="0" applyNumberFormat="1" applyFont="1" applyFill="1" applyBorder="1" applyAlignment="1" applyProtection="1">
      <alignment horizontal="center" vertical="center"/>
    </xf>
    <xf numFmtId="9" fontId="0" fillId="2" borderId="14" xfId="0" applyNumberFormat="1" applyFill="1" applyBorder="1" applyProtection="1"/>
    <xf numFmtId="0" fontId="0" fillId="2" borderId="15" xfId="0" applyFill="1" applyBorder="1" applyAlignment="1" applyProtection="1">
      <alignment horizontal="center" vertical="center"/>
    </xf>
    <xf numFmtId="1" fontId="0" fillId="2" borderId="14" xfId="0" applyNumberFormat="1" applyFill="1" applyBorder="1" applyAlignment="1" applyProtection="1">
      <alignment horizontal="center" vertical="center"/>
    </xf>
    <xf numFmtId="1" fontId="0" fillId="2" borderId="15" xfId="0" applyNumberFormat="1" applyFill="1" applyBorder="1" applyAlignment="1" applyProtection="1">
      <alignment horizontal="center" vertical="center"/>
    </xf>
    <xf numFmtId="2" fontId="0" fillId="2" borderId="16" xfId="0" applyNumberFormat="1" applyFill="1" applyBorder="1" applyAlignment="1" applyProtection="1">
      <alignment horizontal="center" vertical="center"/>
    </xf>
    <xf numFmtId="2" fontId="0" fillId="2" borderId="15" xfId="0" applyNumberFormat="1" applyFill="1" applyBorder="1" applyAlignment="1" applyProtection="1">
      <alignment horizontal="center" vertical="center"/>
    </xf>
    <xf numFmtId="0" fontId="2" fillId="2" borderId="0" xfId="0" applyFont="1" applyFill="1" applyBorder="1" applyProtection="1"/>
    <xf numFmtId="0" fontId="0" fillId="2" borderId="17" xfId="0" applyFill="1" applyBorder="1" applyProtection="1"/>
    <xf numFmtId="0" fontId="2" fillId="2" borderId="0" xfId="0" applyFont="1" applyFill="1" applyBorder="1" applyAlignment="1" applyProtection="1">
      <alignment horizontal="right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0" fontId="0" fillId="3" borderId="0" xfId="0" applyFill="1" applyBorder="1" applyAlignment="1">
      <alignment horizontal="left"/>
    </xf>
    <xf numFmtId="164" fontId="0" fillId="2" borderId="6" xfId="0" applyNumberFormat="1" applyFill="1" applyBorder="1" applyAlignment="1" applyProtection="1">
      <alignment horizontal="center" vertical="center"/>
    </xf>
    <xf numFmtId="164" fontId="0" fillId="2" borderId="16" xfId="0" applyNumberFormat="1" applyFill="1" applyBorder="1" applyAlignment="1" applyProtection="1">
      <alignment horizontal="center" vertical="center"/>
    </xf>
    <xf numFmtId="0" fontId="16" fillId="2" borderId="0" xfId="0" applyFont="1" applyFill="1" applyBorder="1" applyAlignment="1" applyProtection="1">
      <protection locked="0"/>
    </xf>
    <xf numFmtId="164" fontId="0" fillId="2" borderId="5" xfId="0" applyNumberFormat="1" applyFill="1" applyBorder="1" applyAlignment="1" applyProtection="1">
      <alignment horizontal="center" vertical="center"/>
    </xf>
    <xf numFmtId="164" fontId="0" fillId="2" borderId="14" xfId="0" applyNumberFormat="1" applyFill="1" applyBorder="1" applyAlignment="1" applyProtection="1">
      <alignment horizontal="center" vertical="center"/>
    </xf>
    <xf numFmtId="0" fontId="0" fillId="2" borderId="0" xfId="0" applyNumberFormat="1" applyFill="1" applyBorder="1" applyAlignment="1" applyProtection="1">
      <alignment horizontal="center" vertical="center"/>
    </xf>
    <xf numFmtId="0" fontId="0" fillId="2" borderId="15" xfId="0" applyNumberFormat="1" applyFill="1" applyBorder="1" applyAlignment="1" applyProtection="1">
      <alignment horizontal="center" vertical="center"/>
    </xf>
    <xf numFmtId="1" fontId="0" fillId="4" borderId="1" xfId="0" applyNumberFormat="1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 applyProtection="1">
      <alignment horizontal="center"/>
    </xf>
    <xf numFmtId="0" fontId="10" fillId="2" borderId="8" xfId="0" applyFont="1" applyFill="1" applyBorder="1" applyProtection="1"/>
    <xf numFmtId="1" fontId="10" fillId="2" borderId="6" xfId="0" applyNumberFormat="1" applyFont="1" applyFill="1" applyBorder="1" applyAlignment="1" applyProtection="1">
      <alignment horizontal="center" vertical="center"/>
    </xf>
    <xf numFmtId="1" fontId="10" fillId="2" borderId="16" xfId="0" applyNumberFormat="1" applyFont="1" applyFill="1" applyBorder="1" applyAlignment="1" applyProtection="1">
      <alignment horizontal="center" vertical="center"/>
    </xf>
    <xf numFmtId="0" fontId="16" fillId="2" borderId="0" xfId="0" applyFon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6" fontId="0" fillId="2" borderId="1" xfId="0" applyNumberFormat="1" applyFill="1" applyBorder="1" applyProtection="1">
      <protection locked="0"/>
    </xf>
    <xf numFmtId="0" fontId="19" fillId="3" borderId="0" xfId="0" applyFont="1" applyFill="1" applyBorder="1" applyProtection="1"/>
    <xf numFmtId="0" fontId="0" fillId="2" borderId="34" xfId="0" applyFill="1" applyBorder="1" applyProtection="1">
      <protection locked="0"/>
    </xf>
    <xf numFmtId="0" fontId="2" fillId="2" borderId="20" xfId="0" applyFont="1" applyFill="1" applyBorder="1" applyAlignment="1" applyProtection="1">
      <alignment horizontal="center" vertical="center" textRotation="255"/>
    </xf>
    <xf numFmtId="0" fontId="2" fillId="2" borderId="21" xfId="0" applyFont="1" applyFill="1" applyBorder="1" applyAlignment="1" applyProtection="1">
      <alignment horizontal="center" vertical="center" textRotation="255"/>
    </xf>
    <xf numFmtId="0" fontId="2" fillId="2" borderId="31" xfId="0" applyFont="1" applyFill="1" applyBorder="1" applyAlignment="1" applyProtection="1">
      <alignment horizontal="center" vertical="center" textRotation="255"/>
    </xf>
    <xf numFmtId="0" fontId="2" fillId="2" borderId="1" xfId="0" applyFont="1" applyFill="1" applyBorder="1" applyAlignment="1" applyProtection="1">
      <alignment horizontal="center" vertical="center" textRotation="255"/>
    </xf>
    <xf numFmtId="0" fontId="2" fillId="2" borderId="22" xfId="0" applyFont="1" applyFill="1" applyBorder="1" applyAlignment="1" applyProtection="1">
      <alignment horizontal="center" vertical="center" textRotation="255"/>
    </xf>
    <xf numFmtId="0" fontId="1" fillId="2" borderId="32" xfId="0" applyFont="1" applyFill="1" applyBorder="1" applyAlignment="1" applyProtection="1">
      <alignment horizontal="center" vertical="center"/>
    </xf>
    <xf numFmtId="0" fontId="16" fillId="2" borderId="23" xfId="0" applyFont="1" applyFill="1" applyBorder="1" applyAlignment="1" applyProtection="1">
      <alignment horizontal="center" vertical="center"/>
    </xf>
    <xf numFmtId="0" fontId="16" fillId="5" borderId="1" xfId="0" applyFont="1" applyFill="1" applyBorder="1" applyAlignment="1" applyProtection="1">
      <alignment horizontal="center" vertical="center"/>
    </xf>
    <xf numFmtId="0" fontId="16" fillId="2" borderId="29" xfId="0" applyFont="1" applyFill="1" applyBorder="1" applyAlignment="1" applyProtection="1">
      <alignment horizontal="center" vertical="center"/>
    </xf>
    <xf numFmtId="0" fontId="16" fillId="2" borderId="32" xfId="0" applyFont="1" applyFill="1" applyBorder="1" applyAlignment="1" applyProtection="1">
      <alignment horizontal="center" vertical="center"/>
    </xf>
    <xf numFmtId="164" fontId="16" fillId="2" borderId="29" xfId="0" applyNumberFormat="1" applyFont="1" applyFill="1" applyBorder="1" applyAlignment="1" applyProtection="1">
      <alignment horizontal="center" vertical="center"/>
    </xf>
    <xf numFmtId="0" fontId="16" fillId="2" borderId="27" xfId="0" applyFont="1" applyFill="1" applyBorder="1" applyAlignment="1" applyProtection="1">
      <alignment horizontal="center" vertical="center"/>
    </xf>
    <xf numFmtId="0" fontId="16" fillId="2" borderId="24" xfId="0" applyFont="1" applyFill="1" applyBorder="1" applyAlignment="1" applyProtection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</xf>
    <xf numFmtId="0" fontId="16" fillId="2" borderId="33" xfId="0" applyFont="1" applyFill="1" applyBorder="1" applyAlignment="1" applyProtection="1">
      <alignment horizontal="center" vertical="center"/>
    </xf>
    <xf numFmtId="164" fontId="16" fillId="2" borderId="0" xfId="0" applyNumberFormat="1" applyFont="1" applyFill="1" applyBorder="1" applyAlignment="1" applyProtection="1">
      <alignment horizontal="center" vertical="center"/>
    </xf>
    <xf numFmtId="0" fontId="16" fillId="2" borderId="25" xfId="0" applyFont="1" applyFill="1" applyBorder="1" applyAlignment="1" applyProtection="1">
      <alignment horizontal="center" vertical="center"/>
    </xf>
    <xf numFmtId="0" fontId="16" fillId="2" borderId="26" xfId="0" applyFont="1" applyFill="1" applyBorder="1" applyAlignment="1" applyProtection="1">
      <alignment horizontal="center" vertical="center"/>
    </xf>
    <xf numFmtId="0" fontId="16" fillId="6" borderId="1" xfId="0" applyFont="1" applyFill="1" applyBorder="1" applyAlignment="1" applyProtection="1">
      <alignment horizontal="center" vertical="center"/>
    </xf>
    <xf numFmtId="0" fontId="16" fillId="2" borderId="30" xfId="0" applyFont="1" applyFill="1" applyBorder="1" applyAlignment="1" applyProtection="1">
      <alignment horizontal="center" vertical="center"/>
    </xf>
    <xf numFmtId="0" fontId="16" fillId="2" borderId="34" xfId="0" applyFont="1" applyFill="1" applyBorder="1" applyAlignment="1" applyProtection="1">
      <alignment horizontal="center" vertical="center"/>
    </xf>
    <xf numFmtId="0" fontId="16" fillId="5" borderId="30" xfId="0" applyFont="1" applyFill="1" applyBorder="1" applyAlignment="1" applyProtection="1">
      <alignment horizontal="center" vertical="center"/>
    </xf>
    <xf numFmtId="164" fontId="16" fillId="2" borderId="30" xfId="0" applyNumberFormat="1" applyFont="1" applyFill="1" applyBorder="1" applyAlignment="1" applyProtection="1">
      <alignment horizontal="center" vertical="center"/>
    </xf>
    <xf numFmtId="0" fontId="16" fillId="2" borderId="28" xfId="0" applyFont="1" applyFill="1" applyBorder="1" applyAlignment="1" applyProtection="1">
      <alignment horizontal="center" vertical="center"/>
    </xf>
    <xf numFmtId="0" fontId="16" fillId="5" borderId="0" xfId="0" applyFont="1" applyFill="1" applyBorder="1" applyAlignment="1" applyProtection="1">
      <alignment horizontal="center" vertical="center"/>
    </xf>
    <xf numFmtId="0" fontId="17" fillId="7" borderId="1" xfId="0" applyFont="1" applyFill="1" applyBorder="1" applyAlignment="1" applyProtection="1">
      <alignment horizontal="center" vertical="center"/>
    </xf>
    <xf numFmtId="164" fontId="2" fillId="2" borderId="29" xfId="0" applyNumberFormat="1" applyFont="1" applyFill="1" applyBorder="1" applyAlignment="1" applyProtection="1">
      <alignment horizontal="center" vertical="center"/>
    </xf>
    <xf numFmtId="164" fontId="2" fillId="2" borderId="1" xfId="0" applyNumberFormat="1" applyFont="1" applyFill="1" applyBorder="1" applyAlignment="1" applyProtection="1">
      <alignment horizontal="center" vertical="center"/>
    </xf>
    <xf numFmtId="0" fontId="17" fillId="2" borderId="29" xfId="0" applyFont="1" applyFill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</xf>
    <xf numFmtId="0" fontId="2" fillId="2" borderId="29" xfId="0" applyFont="1" applyFill="1" applyBorder="1" applyAlignment="1" applyProtection="1">
      <alignment horizontal="center" vertical="center"/>
    </xf>
    <xf numFmtId="0" fontId="17" fillId="2" borderId="27" xfId="0" applyFont="1" applyFill="1" applyBorder="1" applyAlignment="1" applyProtection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</xf>
    <xf numFmtId="0" fontId="17" fillId="2" borderId="10" xfId="0" applyFont="1" applyFill="1" applyBorder="1" applyAlignment="1" applyProtection="1">
      <alignment horizontal="center" vertical="center"/>
    </xf>
    <xf numFmtId="164" fontId="2" fillId="2" borderId="19" xfId="0" applyNumberFormat="1" applyFont="1" applyFill="1" applyBorder="1" applyAlignment="1" applyProtection="1">
      <alignment horizontal="center" vertical="center"/>
    </xf>
    <xf numFmtId="0" fontId="17" fillId="2" borderId="19" xfId="0" applyFont="1" applyFill="1" applyBorder="1" applyAlignment="1" applyProtection="1">
      <alignment horizontal="center" vertical="center"/>
    </xf>
    <xf numFmtId="0" fontId="1" fillId="7" borderId="1" xfId="0" applyFont="1" applyFill="1" applyBorder="1" applyProtection="1"/>
    <xf numFmtId="0" fontId="2" fillId="2" borderId="19" xfId="0" applyFont="1" applyFill="1" applyBorder="1" applyProtection="1"/>
    <xf numFmtId="0" fontId="0" fillId="2" borderId="19" xfId="0" applyFill="1" applyBorder="1" applyProtection="1"/>
    <xf numFmtId="0" fontId="0" fillId="2" borderId="10" xfId="0" applyFill="1" applyBorder="1" applyProtection="1"/>
    <xf numFmtId="1" fontId="0" fillId="4" borderId="10" xfId="0" applyNumberFormat="1" applyFill="1" applyBorder="1" applyAlignment="1" applyProtection="1">
      <alignment horizontal="center"/>
      <protection locked="0"/>
    </xf>
    <xf numFmtId="9" fontId="0" fillId="4" borderId="10" xfId="0" applyNumberFormat="1" applyFill="1" applyBorder="1" applyAlignment="1" applyProtection="1">
      <alignment horizontal="center"/>
      <protection locked="0"/>
    </xf>
    <xf numFmtId="0" fontId="0" fillId="3" borderId="0" xfId="0" applyFill="1" applyBorder="1" applyAlignment="1">
      <alignment horizontal="left"/>
    </xf>
    <xf numFmtId="0" fontId="1" fillId="3" borderId="44" xfId="0" applyFont="1" applyFill="1" applyBorder="1" applyAlignment="1" applyProtection="1">
      <alignment horizontal="center" vertical="center" textRotation="90" wrapText="1"/>
    </xf>
    <xf numFmtId="0" fontId="1" fillId="3" borderId="45" xfId="0" applyFont="1" applyFill="1" applyBorder="1" applyAlignment="1" applyProtection="1">
      <alignment horizontal="center" vertical="center" textRotation="90" wrapText="1"/>
    </xf>
    <xf numFmtId="0" fontId="12" fillId="3" borderId="44" xfId="0" applyFont="1" applyFill="1" applyBorder="1" applyAlignment="1" applyProtection="1">
      <alignment horizontal="center" vertical="center" textRotation="90" wrapText="1"/>
    </xf>
    <xf numFmtId="0" fontId="1" fillId="3" borderId="46" xfId="0" applyFont="1" applyFill="1" applyBorder="1" applyAlignment="1" applyProtection="1">
      <alignment horizontal="center" vertical="center" textRotation="90" wrapText="1"/>
    </xf>
    <xf numFmtId="0" fontId="3" fillId="3" borderId="45" xfId="0" applyFont="1" applyFill="1" applyBorder="1" applyAlignment="1" applyProtection="1">
      <alignment horizontal="center" vertical="center" textRotation="90" wrapText="1"/>
    </xf>
    <xf numFmtId="0" fontId="13" fillId="3" borderId="44" xfId="0" applyFont="1" applyFill="1" applyBorder="1" applyAlignment="1" applyProtection="1">
      <alignment horizontal="center" vertical="center" textRotation="90" wrapText="1"/>
    </xf>
    <xf numFmtId="0" fontId="13" fillId="3" borderId="46" xfId="0" applyFont="1" applyFill="1" applyBorder="1" applyAlignment="1" applyProtection="1">
      <alignment horizontal="center" vertical="center" textRotation="90" wrapText="1"/>
    </xf>
    <xf numFmtId="0" fontId="14" fillId="3" borderId="44" xfId="0" applyFont="1" applyFill="1" applyBorder="1" applyAlignment="1" applyProtection="1">
      <alignment horizontal="center" vertical="center" textRotation="90" wrapText="1"/>
    </xf>
    <xf numFmtId="0" fontId="14" fillId="3" borderId="45" xfId="0" applyFont="1" applyFill="1" applyBorder="1" applyAlignment="1" applyProtection="1">
      <alignment horizontal="center" vertical="center" textRotation="90" wrapText="1"/>
    </xf>
    <xf numFmtId="0" fontId="15" fillId="3" borderId="44" xfId="0" applyFont="1" applyFill="1" applyBorder="1" applyAlignment="1" applyProtection="1">
      <alignment horizontal="center" vertical="center" textRotation="90" wrapText="1"/>
    </xf>
    <xf numFmtId="0" fontId="15" fillId="3" borderId="45" xfId="0" applyFont="1" applyFill="1" applyBorder="1" applyAlignment="1" applyProtection="1">
      <alignment horizontal="center" vertical="center" textRotation="90" wrapText="1"/>
    </xf>
    <xf numFmtId="164" fontId="10" fillId="2" borderId="6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/>
    </xf>
    <xf numFmtId="2" fontId="8" fillId="3" borderId="0" xfId="0" applyNumberFormat="1" applyFont="1" applyFill="1" applyBorder="1" applyAlignment="1" applyProtection="1">
      <alignment horizontal="center"/>
      <protection locked="0"/>
    </xf>
    <xf numFmtId="0" fontId="0" fillId="3" borderId="47" xfId="0" applyFill="1" applyBorder="1" applyProtection="1"/>
    <xf numFmtId="0" fontId="0" fillId="3" borderId="48" xfId="0" applyFill="1" applyBorder="1" applyProtection="1"/>
    <xf numFmtId="0" fontId="1" fillId="3" borderId="49" xfId="0" applyFont="1" applyFill="1" applyBorder="1" applyAlignment="1" applyProtection="1">
      <alignment horizontal="center"/>
    </xf>
    <xf numFmtId="2" fontId="8" fillId="3" borderId="49" xfId="0" applyNumberFormat="1" applyFont="1" applyFill="1" applyBorder="1" applyAlignment="1" applyProtection="1">
      <alignment horizontal="center"/>
      <protection locked="0"/>
    </xf>
    <xf numFmtId="0" fontId="0" fillId="3" borderId="49" xfId="0" applyFill="1" applyBorder="1" applyProtection="1"/>
    <xf numFmtId="0" fontId="0" fillId="3" borderId="50" xfId="0" applyFill="1" applyBorder="1" applyProtection="1"/>
    <xf numFmtId="0" fontId="0" fillId="3" borderId="51" xfId="0" applyFill="1" applyBorder="1" applyProtection="1"/>
    <xf numFmtId="164" fontId="10" fillId="2" borderId="7" xfId="0" applyNumberFormat="1" applyFont="1" applyFill="1" applyBorder="1" applyAlignment="1" applyProtection="1">
      <alignment horizontal="center" vertical="center"/>
    </xf>
    <xf numFmtId="164" fontId="10" fillId="2" borderId="9" xfId="0" applyNumberFormat="1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 textRotation="90" wrapText="1"/>
      <protection hidden="1"/>
    </xf>
    <xf numFmtId="0" fontId="1" fillId="3" borderId="0" xfId="0" applyFont="1" applyFill="1" applyBorder="1" applyAlignment="1" applyProtection="1">
      <alignment horizontal="center" vertical="center" textRotation="90" wrapText="1"/>
      <protection hidden="1"/>
    </xf>
    <xf numFmtId="0" fontId="0" fillId="3" borderId="0" xfId="0" applyFill="1" applyBorder="1" applyAlignment="1" applyProtection="1">
      <alignment horizontal="left"/>
      <protection hidden="1"/>
    </xf>
    <xf numFmtId="0" fontId="1" fillId="3" borderId="5" xfId="0" applyFont="1" applyFill="1" applyBorder="1" applyProtection="1">
      <protection hidden="1"/>
    </xf>
    <xf numFmtId="0" fontId="1" fillId="3" borderId="0" xfId="0" applyFont="1" applyFill="1" applyBorder="1" applyAlignment="1" applyProtection="1">
      <protection hidden="1"/>
    </xf>
    <xf numFmtId="0" fontId="8" fillId="4" borderId="18" xfId="0" applyFont="1" applyFill="1" applyBorder="1" applyAlignment="1" applyProtection="1">
      <alignment horizontal="left"/>
      <protection hidden="1"/>
    </xf>
    <xf numFmtId="0" fontId="1" fillId="3" borderId="3" xfId="0" applyFont="1" applyFill="1" applyBorder="1" applyAlignment="1" applyProtection="1">
      <alignment horizontal="center" vertical="center" textRotation="90" wrapText="1"/>
      <protection hidden="1"/>
    </xf>
    <xf numFmtId="0" fontId="1" fillId="3" borderId="4" xfId="0" applyFont="1" applyFill="1" applyBorder="1" applyAlignment="1" applyProtection="1">
      <alignment horizontal="center" vertical="center" textRotation="90" wrapText="1"/>
      <protection hidden="1"/>
    </xf>
    <xf numFmtId="0" fontId="1" fillId="3" borderId="6" xfId="0" applyFont="1" applyFill="1" applyBorder="1" applyAlignment="1" applyProtection="1">
      <alignment horizontal="center" vertical="center" textRotation="90" wrapText="1"/>
      <protection hidden="1"/>
    </xf>
    <xf numFmtId="165" fontId="21" fillId="2" borderId="8" xfId="0" applyNumberFormat="1" applyFont="1" applyFill="1" applyBorder="1" applyAlignment="1" applyProtection="1">
      <alignment horizontal="center"/>
    </xf>
    <xf numFmtId="0" fontId="21" fillId="2" borderId="8" xfId="0" applyFont="1" applyFill="1" applyBorder="1" applyProtection="1"/>
    <xf numFmtId="165" fontId="21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6" fillId="2" borderId="0" xfId="0" applyFont="1" applyFill="1" applyBorder="1" applyAlignment="1" applyProtection="1">
      <protection hidden="1"/>
    </xf>
    <xf numFmtId="0" fontId="6" fillId="2" borderId="0" xfId="0" applyFont="1" applyFill="1" applyBorder="1" applyProtection="1">
      <protection hidden="1"/>
    </xf>
    <xf numFmtId="0" fontId="6" fillId="2" borderId="43" xfId="0" applyFont="1" applyFill="1" applyBorder="1" applyAlignment="1" applyProtection="1">
      <protection hidden="1"/>
    </xf>
    <xf numFmtId="0" fontId="1" fillId="3" borderId="2" xfId="0" applyFont="1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0" fillId="3" borderId="0" xfId="0" applyFill="1" applyBorder="1" applyProtection="1">
      <protection hidden="1"/>
    </xf>
    <xf numFmtId="0" fontId="0" fillId="3" borderId="47" xfId="0" applyFill="1" applyBorder="1" applyProtection="1">
      <protection hidden="1"/>
    </xf>
    <xf numFmtId="0" fontId="0" fillId="3" borderId="48" xfId="0" applyFill="1" applyBorder="1" applyProtection="1">
      <protection hidden="1"/>
    </xf>
    <xf numFmtId="0" fontId="1" fillId="3" borderId="0" xfId="0" applyFont="1" applyFill="1" applyBorder="1" applyAlignment="1" applyProtection="1">
      <alignment horizontal="center"/>
      <protection hidden="1"/>
    </xf>
    <xf numFmtId="0" fontId="1" fillId="3" borderId="49" xfId="0" applyFont="1" applyFill="1" applyBorder="1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0" fontId="1" fillId="3" borderId="0" xfId="0" applyFont="1" applyFill="1" applyBorder="1" applyProtection="1">
      <protection hidden="1"/>
    </xf>
    <xf numFmtId="2" fontId="8" fillId="3" borderId="49" xfId="0" applyNumberFormat="1" applyFont="1" applyFill="1" applyBorder="1" applyAlignment="1" applyProtection="1">
      <alignment horizontal="center"/>
      <protection hidden="1"/>
    </xf>
    <xf numFmtId="0" fontId="0" fillId="3" borderId="49" xfId="0" applyFill="1" applyBorder="1" applyProtection="1">
      <protection hidden="1"/>
    </xf>
    <xf numFmtId="0" fontId="0" fillId="3" borderId="5" xfId="0" applyFill="1" applyBorder="1" applyProtection="1">
      <protection hidden="1"/>
    </xf>
    <xf numFmtId="0" fontId="1" fillId="3" borderId="7" xfId="0" applyFont="1" applyFill="1" applyBorder="1" applyAlignment="1" applyProtection="1">
      <alignment horizontal="left"/>
      <protection hidden="1"/>
    </xf>
    <xf numFmtId="0" fontId="1" fillId="3" borderId="8" xfId="0" applyFont="1" applyFill="1" applyBorder="1" applyAlignment="1" applyProtection="1">
      <alignment horizontal="left"/>
      <protection hidden="1"/>
    </xf>
    <xf numFmtId="0" fontId="0" fillId="3" borderId="8" xfId="0" applyFill="1" applyBorder="1" applyProtection="1">
      <protection hidden="1"/>
    </xf>
    <xf numFmtId="0" fontId="0" fillId="3" borderId="50" xfId="0" applyFill="1" applyBorder="1" applyProtection="1">
      <protection hidden="1"/>
    </xf>
    <xf numFmtId="0" fontId="0" fillId="3" borderId="51" xfId="0" applyFill="1" applyBorder="1" applyProtection="1">
      <protection hidden="1"/>
    </xf>
    <xf numFmtId="0" fontId="10" fillId="2" borderId="8" xfId="0" applyFont="1" applyFill="1" applyBorder="1" applyProtection="1">
      <protection hidden="1"/>
    </xf>
    <xf numFmtId="165" fontId="18" fillId="2" borderId="8" xfId="0" applyNumberFormat="1" applyFont="1" applyFill="1" applyBorder="1" applyAlignment="1" applyProtection="1">
      <alignment horizontal="center"/>
      <protection hidden="1"/>
    </xf>
    <xf numFmtId="0" fontId="18" fillId="2" borderId="8" xfId="0" applyFont="1" applyFill="1" applyBorder="1" applyProtection="1">
      <protection hidden="1"/>
    </xf>
    <xf numFmtId="0" fontId="1" fillId="3" borderId="44" xfId="0" applyFont="1" applyFill="1" applyBorder="1" applyAlignment="1" applyProtection="1">
      <alignment horizontal="center" vertical="center" textRotation="90" wrapText="1"/>
      <protection hidden="1"/>
    </xf>
    <xf numFmtId="0" fontId="1" fillId="3" borderId="45" xfId="0" applyFont="1" applyFill="1" applyBorder="1" applyAlignment="1" applyProtection="1">
      <alignment horizontal="center" vertical="center" textRotation="90" wrapText="1"/>
      <protection hidden="1"/>
    </xf>
    <xf numFmtId="0" fontId="12" fillId="3" borderId="44" xfId="0" applyFont="1" applyFill="1" applyBorder="1" applyAlignment="1" applyProtection="1">
      <alignment horizontal="center" vertical="center" textRotation="90" wrapText="1"/>
      <protection hidden="1"/>
    </xf>
    <xf numFmtId="0" fontId="1" fillId="3" borderId="46" xfId="0" applyFont="1" applyFill="1" applyBorder="1" applyAlignment="1" applyProtection="1">
      <alignment horizontal="center" vertical="center" textRotation="90" wrapText="1"/>
      <protection hidden="1"/>
    </xf>
    <xf numFmtId="0" fontId="3" fillId="3" borderId="45" xfId="0" applyFont="1" applyFill="1" applyBorder="1" applyAlignment="1" applyProtection="1">
      <alignment horizontal="center" vertical="center" textRotation="90" wrapText="1"/>
      <protection hidden="1"/>
    </xf>
    <xf numFmtId="0" fontId="14" fillId="3" borderId="44" xfId="0" applyFont="1" applyFill="1" applyBorder="1" applyAlignment="1" applyProtection="1">
      <alignment horizontal="center" vertical="center" textRotation="90" wrapText="1"/>
      <protection hidden="1"/>
    </xf>
    <xf numFmtId="0" fontId="14" fillId="3" borderId="45" xfId="0" applyFont="1" applyFill="1" applyBorder="1" applyAlignment="1" applyProtection="1">
      <alignment horizontal="center" vertical="center" textRotation="90" wrapText="1"/>
      <protection hidden="1"/>
    </xf>
    <xf numFmtId="0" fontId="0" fillId="2" borderId="0" xfId="0" applyFill="1" applyAlignment="1" applyProtection="1">
      <alignment horizontal="center" vertical="center" wrapText="1"/>
      <protection hidden="1"/>
    </xf>
    <xf numFmtId="9" fontId="0" fillId="2" borderId="5" xfId="0" applyNumberFormat="1" applyFill="1" applyBorder="1" applyProtection="1"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1" fontId="0" fillId="2" borderId="5" xfId="0" applyNumberFormat="1" applyFill="1" applyBorder="1" applyAlignment="1" applyProtection="1">
      <alignment horizontal="center" vertical="center"/>
      <protection hidden="1"/>
    </xf>
    <xf numFmtId="0" fontId="0" fillId="2" borderId="0" xfId="0" applyNumberFormat="1" applyFill="1" applyBorder="1" applyAlignment="1" applyProtection="1">
      <alignment horizontal="center" vertical="center"/>
      <protection hidden="1"/>
    </xf>
    <xf numFmtId="2" fontId="0" fillId="2" borderId="6" xfId="0" applyNumberFormat="1" applyFill="1" applyBorder="1" applyAlignment="1" applyProtection="1">
      <alignment horizontal="center" vertical="center"/>
      <protection hidden="1"/>
    </xf>
    <xf numFmtId="1" fontId="0" fillId="2" borderId="0" xfId="0" applyNumberFormat="1" applyFill="1" applyBorder="1" applyAlignment="1" applyProtection="1">
      <alignment horizontal="center" vertical="center"/>
      <protection hidden="1"/>
    </xf>
    <xf numFmtId="2" fontId="0" fillId="2" borderId="0" xfId="0" applyNumberFormat="1" applyFill="1" applyBorder="1" applyAlignment="1" applyProtection="1">
      <alignment horizontal="center" vertical="center"/>
      <protection hidden="1"/>
    </xf>
    <xf numFmtId="164" fontId="0" fillId="2" borderId="5" xfId="0" applyNumberFormat="1" applyFill="1" applyBorder="1" applyAlignment="1" applyProtection="1">
      <alignment horizontal="center" vertical="center"/>
      <protection hidden="1"/>
    </xf>
    <xf numFmtId="164" fontId="0" fillId="2" borderId="6" xfId="0" applyNumberFormat="1" applyFill="1" applyBorder="1" applyAlignment="1" applyProtection="1">
      <alignment horizontal="center" vertical="center"/>
      <protection hidden="1"/>
    </xf>
    <xf numFmtId="164" fontId="10" fillId="2" borderId="0" xfId="0" applyNumberFormat="1" applyFont="1" applyFill="1" applyBorder="1" applyAlignment="1" applyProtection="1">
      <alignment horizontal="center" vertical="center"/>
      <protection hidden="1"/>
    </xf>
    <xf numFmtId="1" fontId="10" fillId="2" borderId="6" xfId="0" applyNumberFormat="1" applyFont="1" applyFill="1" applyBorder="1" applyAlignment="1" applyProtection="1">
      <alignment horizontal="center" vertical="center"/>
      <protection hidden="1"/>
    </xf>
    <xf numFmtId="164" fontId="10" fillId="2" borderId="6" xfId="0" applyNumberFormat="1" applyFont="1" applyFill="1" applyBorder="1" applyAlignment="1" applyProtection="1">
      <alignment horizontal="center" vertical="center"/>
      <protection hidden="1"/>
    </xf>
    <xf numFmtId="164" fontId="10" fillId="2" borderId="2" xfId="0" applyNumberFormat="1" applyFont="1" applyFill="1" applyBorder="1" applyAlignment="1" applyProtection="1">
      <alignment horizontal="center" vertical="center"/>
      <protection hidden="1"/>
    </xf>
    <xf numFmtId="164" fontId="10" fillId="2" borderId="4" xfId="0" applyNumberFormat="1" applyFont="1" applyFill="1" applyBorder="1" applyAlignment="1" applyProtection="1">
      <alignment horizontal="center" vertical="center"/>
      <protection hidden="1"/>
    </xf>
    <xf numFmtId="164" fontId="10" fillId="2" borderId="5" xfId="0" applyNumberFormat="1" applyFont="1" applyFill="1" applyBorder="1" applyAlignment="1" applyProtection="1">
      <alignment horizontal="center" vertical="center"/>
      <protection hidden="1"/>
    </xf>
    <xf numFmtId="9" fontId="0" fillId="2" borderId="14" xfId="0" applyNumberFormat="1" applyFill="1" applyBorder="1" applyProtection="1">
      <protection hidden="1"/>
    </xf>
    <xf numFmtId="0" fontId="0" fillId="2" borderId="15" xfId="0" applyFill="1" applyBorder="1" applyAlignment="1" applyProtection="1">
      <alignment horizontal="center" vertical="center"/>
      <protection hidden="1"/>
    </xf>
    <xf numFmtId="1" fontId="0" fillId="2" borderId="14" xfId="0" applyNumberFormat="1" applyFill="1" applyBorder="1" applyAlignment="1" applyProtection="1">
      <alignment horizontal="center" vertical="center"/>
      <protection hidden="1"/>
    </xf>
    <xf numFmtId="0" fontId="0" fillId="2" borderId="15" xfId="0" applyNumberFormat="1" applyFill="1" applyBorder="1" applyAlignment="1" applyProtection="1">
      <alignment horizontal="center" vertical="center"/>
      <protection hidden="1"/>
    </xf>
    <xf numFmtId="2" fontId="0" fillId="2" borderId="16" xfId="0" applyNumberFormat="1" applyFill="1" applyBorder="1" applyAlignment="1" applyProtection="1">
      <alignment horizontal="center" vertical="center"/>
      <protection hidden="1"/>
    </xf>
    <xf numFmtId="1" fontId="0" fillId="2" borderId="15" xfId="0" applyNumberFormat="1" applyFill="1" applyBorder="1" applyAlignment="1" applyProtection="1">
      <alignment horizontal="center" vertical="center"/>
      <protection hidden="1"/>
    </xf>
    <xf numFmtId="2" fontId="0" fillId="2" borderId="15" xfId="0" applyNumberFormat="1" applyFill="1" applyBorder="1" applyAlignment="1" applyProtection="1">
      <alignment horizontal="center" vertical="center"/>
      <protection hidden="1"/>
    </xf>
    <xf numFmtId="164" fontId="0" fillId="2" borderId="14" xfId="0" applyNumberFormat="1" applyFill="1" applyBorder="1" applyAlignment="1" applyProtection="1">
      <alignment horizontal="center" vertical="center"/>
      <protection hidden="1"/>
    </xf>
    <xf numFmtId="164" fontId="0" fillId="2" borderId="16" xfId="0" applyNumberFormat="1" applyFill="1" applyBorder="1" applyAlignment="1" applyProtection="1">
      <alignment horizontal="center" vertical="center"/>
      <protection hidden="1"/>
    </xf>
    <xf numFmtId="1" fontId="10" fillId="2" borderId="16" xfId="0" applyNumberFormat="1" applyFont="1" applyFill="1" applyBorder="1" applyAlignment="1" applyProtection="1">
      <alignment horizontal="center" vertical="center"/>
      <protection hidden="1"/>
    </xf>
    <xf numFmtId="164" fontId="10" fillId="2" borderId="7" xfId="0" applyNumberFormat="1" applyFont="1" applyFill="1" applyBorder="1" applyAlignment="1" applyProtection="1">
      <alignment horizontal="center" vertical="center"/>
      <protection hidden="1"/>
    </xf>
    <xf numFmtId="164" fontId="10" fillId="2" borderId="9" xfId="0" applyNumberFormat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Protection="1">
      <protection hidden="1"/>
    </xf>
    <xf numFmtId="0" fontId="0" fillId="2" borderId="17" xfId="0" applyFill="1" applyBorder="1" applyProtection="1">
      <protection hidden="1"/>
    </xf>
    <xf numFmtId="0" fontId="2" fillId="2" borderId="0" xfId="0" applyFont="1" applyFill="1" applyBorder="1" applyAlignment="1" applyProtection="1">
      <alignment horizontal="right"/>
      <protection hidden="1"/>
    </xf>
    <xf numFmtId="0" fontId="0" fillId="3" borderId="0" xfId="0" applyFill="1" applyBorder="1" applyAlignment="1">
      <alignment horizontal="left"/>
    </xf>
    <xf numFmtId="2" fontId="10" fillId="3" borderId="0" xfId="0" applyNumberFormat="1" applyFont="1" applyFill="1" applyBorder="1" applyAlignment="1" applyProtection="1">
      <alignment horizontal="left"/>
      <protection hidden="1"/>
    </xf>
    <xf numFmtId="0" fontId="0" fillId="2" borderId="0" xfId="0" applyFill="1" applyBorder="1" applyAlignment="1" applyProtection="1">
      <alignment horizontal="center"/>
    </xf>
    <xf numFmtId="0" fontId="0" fillId="3" borderId="5" xfId="0" applyFill="1" applyBorder="1" applyAlignment="1" applyProtection="1">
      <alignment vertical="top"/>
      <protection hidden="1"/>
    </xf>
    <xf numFmtId="0" fontId="0" fillId="3" borderId="0" xfId="0" applyFill="1" applyBorder="1" applyAlignment="1" applyProtection="1">
      <alignment vertical="top"/>
      <protection hidden="1"/>
    </xf>
    <xf numFmtId="0" fontId="25" fillId="3" borderId="52" xfId="0" applyFont="1" applyFill="1" applyBorder="1" applyAlignment="1" applyProtection="1">
      <alignment horizontal="center" vertical="center" textRotation="90" wrapText="1"/>
      <protection hidden="1"/>
    </xf>
    <xf numFmtId="0" fontId="25" fillId="3" borderId="53" xfId="0" applyFont="1" applyFill="1" applyBorder="1" applyAlignment="1" applyProtection="1">
      <alignment horizontal="center" vertical="center" textRotation="90" wrapText="1"/>
      <protection hidden="1"/>
    </xf>
    <xf numFmtId="0" fontId="2" fillId="2" borderId="0" xfId="0" applyFont="1" applyFill="1" applyProtection="1">
      <protection hidden="1"/>
    </xf>
    <xf numFmtId="0" fontId="26" fillId="3" borderId="44" xfId="0" applyFont="1" applyFill="1" applyBorder="1" applyAlignment="1" applyProtection="1">
      <alignment horizontal="center" vertical="center" textRotation="90" wrapText="1"/>
      <protection hidden="1"/>
    </xf>
    <xf numFmtId="0" fontId="26" fillId="3" borderId="46" xfId="0" applyFont="1" applyFill="1" applyBorder="1" applyAlignment="1" applyProtection="1">
      <alignment horizontal="center" vertical="center" textRotation="90" wrapText="1"/>
      <protection hidden="1"/>
    </xf>
    <xf numFmtId="0" fontId="27" fillId="3" borderId="44" xfId="0" applyFont="1" applyFill="1" applyBorder="1" applyAlignment="1" applyProtection="1">
      <alignment horizontal="center" vertical="center" textRotation="90" wrapText="1"/>
      <protection hidden="1"/>
    </xf>
    <xf numFmtId="0" fontId="27" fillId="3" borderId="45" xfId="0" applyFont="1" applyFill="1" applyBorder="1" applyAlignment="1" applyProtection="1">
      <alignment horizontal="center" vertical="center" textRotation="90" wrapText="1"/>
      <protection hidden="1"/>
    </xf>
    <xf numFmtId="0" fontId="15" fillId="3" borderId="54" xfId="0" applyFont="1" applyFill="1" applyBorder="1" applyAlignment="1" applyProtection="1">
      <alignment horizontal="center" vertical="center" textRotation="90" wrapText="1"/>
      <protection hidden="1"/>
    </xf>
    <xf numFmtId="0" fontId="26" fillId="3" borderId="55" xfId="0" applyFont="1" applyFill="1" applyBorder="1" applyAlignment="1" applyProtection="1">
      <alignment horizontal="center" vertical="center" textRotation="90" wrapText="1"/>
      <protection hidden="1"/>
    </xf>
    <xf numFmtId="0" fontId="0" fillId="3" borderId="0" xfId="0" applyFill="1" applyBorder="1" applyAlignment="1">
      <alignment horizontal="left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Protection="1"/>
    <xf numFmtId="0" fontId="0" fillId="3" borderId="0" xfId="0" applyFill="1" applyBorder="1" applyAlignment="1">
      <alignment horizontal="left"/>
    </xf>
    <xf numFmtId="0" fontId="22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0" fillId="2" borderId="50" xfId="0" applyFill="1" applyBorder="1" applyAlignment="1" applyProtection="1">
      <alignment horizontal="center"/>
      <protection hidden="1"/>
    </xf>
    <xf numFmtId="1" fontId="8" fillId="4" borderId="41" xfId="0" applyNumberFormat="1" applyFont="1" applyFill="1" applyBorder="1" applyAlignment="1" applyProtection="1">
      <alignment horizontal="center"/>
      <protection locked="0"/>
    </xf>
    <xf numFmtId="1" fontId="8" fillId="4" borderId="42" xfId="0" applyNumberFormat="1" applyFon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0" fillId="8" borderId="18" xfId="0" applyFill="1" applyBorder="1" applyAlignment="1" applyProtection="1">
      <alignment horizontal="left"/>
      <protection hidden="1"/>
    </xf>
    <xf numFmtId="0" fontId="0" fillId="8" borderId="19" xfId="0" applyFill="1" applyBorder="1" applyAlignment="1" applyProtection="1">
      <alignment horizontal="left"/>
      <protection hidden="1"/>
    </xf>
    <xf numFmtId="0" fontId="0" fillId="8" borderId="37" xfId="0" applyFill="1" applyBorder="1" applyAlignment="1" applyProtection="1">
      <alignment horizontal="left"/>
      <protection hidden="1"/>
    </xf>
    <xf numFmtId="0" fontId="0" fillId="8" borderId="1" xfId="0" applyFill="1" applyBorder="1" applyAlignment="1" applyProtection="1">
      <alignment horizontal="left"/>
      <protection hidden="1"/>
    </xf>
    <xf numFmtId="0" fontId="0" fillId="8" borderId="38" xfId="0" applyFill="1" applyBorder="1" applyAlignment="1" applyProtection="1">
      <alignment horizontal="left"/>
      <protection hidden="1"/>
    </xf>
    <xf numFmtId="0" fontId="20" fillId="4" borderId="23" xfId="0" applyFont="1" applyFill="1" applyBorder="1" applyAlignment="1" applyProtection="1">
      <alignment horizontal="center" vertical="center"/>
      <protection hidden="1"/>
    </xf>
    <xf numFmtId="0" fontId="20" fillId="4" borderId="27" xfId="0" applyFont="1" applyFill="1" applyBorder="1" applyAlignment="1" applyProtection="1">
      <alignment horizontal="center" vertical="center"/>
      <protection hidden="1"/>
    </xf>
    <xf numFmtId="0" fontId="20" fillId="4" borderId="24" xfId="0" applyFont="1" applyFill="1" applyBorder="1" applyAlignment="1" applyProtection="1">
      <alignment horizontal="center" vertical="center"/>
      <protection hidden="1"/>
    </xf>
    <xf numFmtId="0" fontId="20" fillId="4" borderId="25" xfId="0" applyFont="1" applyFill="1" applyBorder="1" applyAlignment="1" applyProtection="1">
      <alignment horizontal="center" vertical="center"/>
      <protection hidden="1"/>
    </xf>
    <xf numFmtId="0" fontId="20" fillId="4" borderId="26" xfId="0" applyFont="1" applyFill="1" applyBorder="1" applyAlignment="1" applyProtection="1">
      <alignment horizontal="center" vertical="center"/>
      <protection hidden="1"/>
    </xf>
    <xf numFmtId="0" fontId="20" fillId="4" borderId="28" xfId="0" applyFont="1" applyFill="1" applyBorder="1" applyAlignment="1" applyProtection="1">
      <alignment horizontal="center" vertical="center"/>
      <protection hidden="1"/>
    </xf>
    <xf numFmtId="0" fontId="0" fillId="8" borderId="39" xfId="0" applyFont="1" applyFill="1" applyBorder="1" applyAlignment="1" applyProtection="1">
      <alignment horizontal="center"/>
      <protection hidden="1"/>
    </xf>
    <xf numFmtId="0" fontId="0" fillId="8" borderId="40" xfId="0" applyFont="1" applyFill="1" applyBorder="1" applyAlignment="1" applyProtection="1">
      <alignment horizontal="center"/>
      <protection hidden="1"/>
    </xf>
    <xf numFmtId="0" fontId="11" fillId="8" borderId="18" xfId="0" applyFont="1" applyFill="1" applyBorder="1" applyAlignment="1" applyProtection="1">
      <alignment horizontal="center"/>
      <protection hidden="1"/>
    </xf>
    <xf numFmtId="0" fontId="11" fillId="8" borderId="19" xfId="0" applyFont="1" applyFill="1" applyBorder="1" applyAlignment="1" applyProtection="1">
      <alignment horizontal="center"/>
      <protection hidden="1"/>
    </xf>
    <xf numFmtId="0" fontId="11" fillId="8" borderId="37" xfId="0" applyFont="1" applyFill="1" applyBorder="1" applyAlignment="1" applyProtection="1">
      <alignment horizontal="center"/>
      <protection hidden="1"/>
    </xf>
    <xf numFmtId="0" fontId="6" fillId="8" borderId="18" xfId="0" applyFont="1" applyFill="1" applyBorder="1" applyAlignment="1" applyProtection="1">
      <alignment horizontal="center"/>
      <protection hidden="1"/>
    </xf>
    <xf numFmtId="0" fontId="6" fillId="8" borderId="19" xfId="0" applyFont="1" applyFill="1" applyBorder="1" applyAlignment="1" applyProtection="1">
      <alignment horizontal="center"/>
      <protection hidden="1"/>
    </xf>
    <xf numFmtId="0" fontId="6" fillId="8" borderId="37" xfId="0" applyFont="1" applyFill="1" applyBorder="1" applyAlignment="1" applyProtection="1">
      <alignment horizontal="center"/>
      <protection hidden="1"/>
    </xf>
    <xf numFmtId="0" fontId="24" fillId="8" borderId="39" xfId="0" applyFont="1" applyFill="1" applyBorder="1" applyAlignment="1" applyProtection="1">
      <alignment horizontal="center"/>
      <protection hidden="1"/>
    </xf>
    <xf numFmtId="0" fontId="24" fillId="8" borderId="40" xfId="0" applyFont="1" applyFill="1" applyBorder="1" applyAlignment="1" applyProtection="1">
      <alignment horizontal="center"/>
      <protection hidden="1"/>
    </xf>
    <xf numFmtId="0" fontId="8" fillId="8" borderId="18" xfId="0" applyFont="1" applyFill="1" applyBorder="1" applyAlignment="1" applyProtection="1">
      <alignment horizontal="center"/>
      <protection hidden="1"/>
    </xf>
    <xf numFmtId="0" fontId="8" fillId="8" borderId="10" xfId="0" applyFont="1" applyFill="1" applyBorder="1" applyAlignment="1" applyProtection="1">
      <alignment horizontal="center"/>
      <protection hidden="1"/>
    </xf>
    <xf numFmtId="0" fontId="23" fillId="8" borderId="18" xfId="0" applyFont="1" applyFill="1" applyBorder="1" applyAlignment="1" applyProtection="1">
      <alignment horizontal="center"/>
      <protection hidden="1"/>
    </xf>
    <xf numFmtId="0" fontId="23" fillId="8" borderId="10" xfId="0" applyFont="1" applyFill="1" applyBorder="1" applyAlignment="1" applyProtection="1">
      <alignment horizontal="center"/>
      <protection hidden="1"/>
    </xf>
    <xf numFmtId="0" fontId="1" fillId="3" borderId="11" xfId="0" applyFont="1" applyFill="1" applyBorder="1" applyAlignment="1" applyProtection="1">
      <alignment horizontal="left" vertical="center"/>
      <protection hidden="1"/>
    </xf>
    <xf numFmtId="0" fontId="1" fillId="3" borderId="12" xfId="0" applyFont="1" applyFill="1" applyBorder="1" applyAlignment="1" applyProtection="1">
      <alignment horizontal="left" vertical="center"/>
      <protection hidden="1"/>
    </xf>
    <xf numFmtId="0" fontId="1" fillId="3" borderId="13" xfId="0" applyFont="1" applyFill="1" applyBorder="1" applyAlignment="1" applyProtection="1">
      <alignment horizontal="left" vertical="center"/>
      <protection hidden="1"/>
    </xf>
    <xf numFmtId="0" fontId="1" fillId="3" borderId="11" xfId="0" applyFont="1" applyFill="1" applyBorder="1" applyAlignment="1" applyProtection="1">
      <alignment horizontal="left" vertical="center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3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horizontal="center"/>
    </xf>
    <xf numFmtId="0" fontId="0" fillId="3" borderId="5" xfId="0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1" fillId="7" borderId="35" xfId="0" applyFont="1" applyFill="1" applyBorder="1" applyAlignment="1" applyProtection="1">
      <alignment horizontal="center"/>
    </xf>
    <xf numFmtId="0" fontId="1" fillId="7" borderId="36" xfId="0" applyFont="1" applyFill="1" applyBorder="1" applyAlignment="1" applyProtection="1">
      <alignment horizontal="center"/>
    </xf>
    <xf numFmtId="2" fontId="8" fillId="4" borderId="35" xfId="0" applyNumberFormat="1" applyFont="1" applyFill="1" applyBorder="1" applyAlignment="1" applyProtection="1">
      <alignment horizontal="center"/>
      <protection locked="0"/>
    </xf>
    <xf numFmtId="2" fontId="8" fillId="4" borderId="36" xfId="0" applyNumberFormat="1" applyFont="1" applyFill="1" applyBorder="1" applyAlignment="1" applyProtection="1">
      <alignment horizontal="center"/>
      <protection locked="0"/>
    </xf>
    <xf numFmtId="0" fontId="11" fillId="5" borderId="39" xfId="0" applyFont="1" applyFill="1" applyBorder="1" applyAlignment="1" applyProtection="1">
      <alignment horizontal="center"/>
      <protection hidden="1"/>
    </xf>
    <xf numFmtId="0" fontId="11" fillId="5" borderId="40" xfId="0" applyFont="1" applyFill="1" applyBorder="1" applyAlignment="1" applyProtection="1">
      <alignment horizontal="center"/>
      <protection hidden="1"/>
    </xf>
    <xf numFmtId="0" fontId="17" fillId="2" borderId="23" xfId="0" applyFont="1" applyFill="1" applyBorder="1" applyAlignment="1" applyProtection="1">
      <alignment horizontal="center" vertical="center"/>
    </xf>
    <xf numFmtId="0" fontId="17" fillId="2" borderId="29" xfId="0" applyFont="1" applyFill="1" applyBorder="1" applyAlignment="1" applyProtection="1">
      <alignment horizontal="center" vertical="center"/>
    </xf>
    <xf numFmtId="0" fontId="17" fillId="2" borderId="27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center" vertical="center"/>
    </xf>
    <xf numFmtId="0" fontId="1" fillId="2" borderId="19" xfId="0" applyFont="1" applyFill="1" applyBorder="1" applyAlignment="1" applyProtection="1">
      <alignment horizontal="center" vertical="center"/>
    </xf>
    <xf numFmtId="0" fontId="1" fillId="3" borderId="11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0" fillId="3" borderId="5" xfId="0" applyFill="1" applyBorder="1" applyAlignment="1" applyProtection="1">
      <alignment horizontal="left"/>
      <protection hidden="1"/>
    </xf>
    <xf numFmtId="0" fontId="0" fillId="3" borderId="0" xfId="0" applyFill="1" applyBorder="1" applyAlignment="1" applyProtection="1">
      <alignment horizontal="left"/>
      <protection hidden="1"/>
    </xf>
    <xf numFmtId="0" fontId="0" fillId="3" borderId="25" xfId="0" applyFill="1" applyBorder="1" applyAlignment="1" applyProtection="1">
      <alignment horizontal="left"/>
      <protection hidden="1"/>
    </xf>
    <xf numFmtId="0" fontId="0" fillId="3" borderId="0" xfId="0" applyFill="1" applyBorder="1" applyAlignment="1">
      <alignment horizontal="left"/>
    </xf>
    <xf numFmtId="0" fontId="11" fillId="4" borderId="18" xfId="0" applyFont="1" applyFill="1" applyBorder="1" applyAlignment="1" applyProtection="1">
      <alignment horizontal="center"/>
      <protection hidden="1"/>
    </xf>
    <xf numFmtId="0" fontId="11" fillId="4" borderId="19" xfId="0" applyFont="1" applyFill="1" applyBorder="1" applyAlignment="1" applyProtection="1">
      <alignment horizontal="center"/>
      <protection hidden="1"/>
    </xf>
    <xf numFmtId="0" fontId="11" fillId="4" borderId="10" xfId="0" applyFont="1" applyFill="1" applyBorder="1" applyAlignment="1" applyProtection="1">
      <alignment horizontal="center"/>
      <protection hidden="1"/>
    </xf>
  </cellXfs>
  <cellStyles count="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0"/>
  <tableStyles count="0" defaultTableStyle="TableStyleMedium2" defaultPivotStyle="PivotStyleLight16"/>
  <colors>
    <mruColors>
      <color rgb="FFE0E0E0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38100</xdr:colOff>
          <xdr:row>8</xdr:row>
          <xdr:rowOff>38100</xdr:rowOff>
        </xdr:from>
        <xdr:to>
          <xdr:col>13</xdr:col>
          <xdr:colOff>447673</xdr:colOff>
          <xdr:row>11</xdr:row>
          <xdr:rowOff>47625</xdr:rowOff>
        </xdr:to>
        <xdr:grpSp>
          <xdr:nvGrpSpPr>
            <xdr:cNvPr id="4" name="Groep 3"/>
            <xdr:cNvGrpSpPr/>
          </xdr:nvGrpSpPr>
          <xdr:grpSpPr>
            <a:xfrm>
              <a:off x="5762625" y="1476375"/>
              <a:ext cx="923923" cy="590550"/>
              <a:chOff x="9363073" y="609611"/>
              <a:chExt cx="1113888" cy="476249"/>
            </a:xfrm>
          </xdr:grpSpPr>
          <xdr:sp macro="" textlink="">
            <xdr:nvSpPr>
              <xdr:cNvPr id="2051" name="rbtnSI" hidden="1">
                <a:extLst>
                  <a:ext uri="{63B3BB69-23CF-44E3-9099-C40C66FF867C}">
                    <a14:compatExt spid="_x0000_s2051"/>
                  </a:ext>
                </a:extLst>
              </xdr:cNvPr>
              <xdr:cNvSpPr/>
            </xdr:nvSpPr>
            <xdr:spPr bwMode="auto">
              <a:xfrm>
                <a:off x="9363075" y="609611"/>
                <a:ext cx="907189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52" name="rbtnImperial" hidden="1">
                <a:extLst>
                  <a:ext uri="{63B3BB69-23CF-44E3-9099-C40C66FF867C}">
                    <a14:compatExt spid="_x0000_s2052"/>
                  </a:ext>
                </a:extLst>
              </xdr:cNvPr>
              <xdr:cNvSpPr/>
            </xdr:nvSpPr>
            <xdr:spPr bwMode="auto">
              <a:xfrm>
                <a:off x="9363073" y="828685"/>
                <a:ext cx="1113888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 editAs="oneCell">
    <xdr:from>
      <xdr:col>14</xdr:col>
      <xdr:colOff>76200</xdr:colOff>
      <xdr:row>0</xdr:row>
      <xdr:rowOff>19050</xdr:rowOff>
    </xdr:from>
    <xdr:to>
      <xdr:col>15</xdr:col>
      <xdr:colOff>438150</xdr:colOff>
      <xdr:row>2</xdr:row>
      <xdr:rowOff>158927</xdr:rowOff>
    </xdr:to>
    <xdr:pic>
      <xdr:nvPicPr>
        <xdr:cNvPr id="8" name="Afbeelding 7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781800" y="19050"/>
          <a:ext cx="828675" cy="52087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0</xdr:row>
          <xdr:rowOff>171450</xdr:rowOff>
        </xdr:from>
        <xdr:to>
          <xdr:col>5</xdr:col>
          <xdr:colOff>371475</xdr:colOff>
          <xdr:row>3</xdr:row>
          <xdr:rowOff>133350</xdr:rowOff>
        </xdr:to>
        <xdr:sp macro="" textlink="">
          <xdr:nvSpPr>
            <xdr:cNvPr id="2055" name="btnCopy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2">
    <pageSetUpPr fitToPage="1"/>
  </sheetPr>
  <dimension ref="A1:WKR50"/>
  <sheetViews>
    <sheetView tabSelected="1" topLeftCell="A2" zoomScaleNormal="100" workbookViewId="0">
      <selection activeCell="K2" sqref="K2:L2"/>
    </sheetView>
  </sheetViews>
  <sheetFormatPr defaultColWidth="0" defaultRowHeight="0" customHeight="1" zeroHeight="1" x14ac:dyDescent="0.25"/>
  <cols>
    <col min="1" max="1" width="2" style="197" customWidth="1"/>
    <col min="2" max="2" width="7" style="197" customWidth="1"/>
    <col min="3" max="3" width="6.140625" style="197" customWidth="1"/>
    <col min="4" max="4" width="7.28515625" style="197" customWidth="1"/>
    <col min="5" max="5" width="7.140625" style="197" customWidth="1"/>
    <col min="6" max="6" width="7.5703125" style="197" customWidth="1"/>
    <col min="7" max="7" width="9.42578125" style="197" customWidth="1"/>
    <col min="8" max="8" width="8.5703125" style="197" customWidth="1"/>
    <col min="9" max="9" width="7.7109375" style="197" customWidth="1"/>
    <col min="10" max="10" width="7" style="197" customWidth="1"/>
    <col min="11" max="11" width="7.85546875" style="197" customWidth="1"/>
    <col min="12" max="12" width="8.140625" style="197" customWidth="1"/>
    <col min="13" max="13" width="7.7109375" style="197" customWidth="1"/>
    <col min="14" max="16" width="7" style="197" customWidth="1"/>
    <col min="17" max="17" width="2" style="197" customWidth="1"/>
    <col min="18" max="18" width="2.7109375" style="197" hidden="1"/>
    <col min="19" max="15780" width="0.140625" style="197" hidden="1"/>
    <col min="15781" max="15782" width="0" style="197" hidden="1"/>
    <col min="15783" max="15790" width="0.140625" style="197" hidden="1"/>
    <col min="15791" max="15792" width="0" style="197" hidden="1"/>
    <col min="15793" max="15800" width="0.140625" style="197" hidden="1"/>
    <col min="15801" max="15802" width="0" style="197" hidden="1"/>
    <col min="15803" max="15810" width="0.140625" style="197" hidden="1"/>
    <col min="15811" max="15812" width="0" style="197" hidden="1"/>
    <col min="15813" max="15820" width="0.140625" style="197" hidden="1"/>
    <col min="15821" max="15822" width="0" style="197" hidden="1"/>
    <col min="15823" max="15830" width="0.140625" style="197" hidden="1"/>
    <col min="15831" max="15832" width="0" style="197" hidden="1"/>
    <col min="15833" max="15840" width="0.140625" style="197" hidden="1"/>
    <col min="15841" max="15842" width="0" style="197" hidden="1"/>
    <col min="15843" max="15850" width="0.140625" style="197" hidden="1"/>
    <col min="15851" max="15852" width="0" style="197" hidden="1"/>
    <col min="15853" max="16384" width="0.140625" style="197" hidden="1"/>
  </cols>
  <sheetData>
    <row r="1" spans="2:16" s="186" customFormat="1" ht="15" x14ac:dyDescent="0.25">
      <c r="B1" s="185"/>
      <c r="O1" s="266"/>
      <c r="P1" s="266"/>
    </row>
    <row r="2" spans="2:16" s="186" customFormat="1" ht="15" x14ac:dyDescent="0.25">
      <c r="B2" s="296" t="s">
        <v>92</v>
      </c>
      <c r="C2" s="297"/>
      <c r="G2" s="286" t="s">
        <v>229</v>
      </c>
      <c r="H2" s="287">
        <v>0</v>
      </c>
      <c r="I2" s="287">
        <v>0</v>
      </c>
      <c r="J2" s="288">
        <v>0</v>
      </c>
      <c r="K2" s="271" t="s">
        <v>75</v>
      </c>
      <c r="L2" s="272"/>
      <c r="M2" s="187"/>
      <c r="N2" s="187"/>
      <c r="O2" s="266"/>
      <c r="P2" s="266"/>
    </row>
    <row r="3" spans="2:16" s="186" customFormat="1" ht="15" x14ac:dyDescent="0.25">
      <c r="B3" s="294" t="s">
        <v>65</v>
      </c>
      <c r="C3" s="295"/>
      <c r="O3" s="267"/>
      <c r="P3" s="267"/>
    </row>
    <row r="4" spans="2:16" s="186" customFormat="1" ht="15" x14ac:dyDescent="0.25">
      <c r="B4" s="188"/>
      <c r="G4" s="289" t="str">
        <f>IF(cal!$S$7=1,"Uitvoering",IF(cal!$S$7=2,"Version",IF(cal!$S$7=3,"Ausführung",IF(cal!$S$7=4,"Version",IF(cal!$S$7=5,"Modell",IF(cal!$S$7=6,"Montaje",IF(cal!$S$7=7,"Version",IF(cal!$S$7=8,"Verze",IF(cal!$S$7=9,"ExtraTaal1",IF(cal!$S$7=10,"ExtraTaal2",IF(cal!$S$7=11,"ExtraTaal3",)))))))))))</f>
        <v>Uitvoering</v>
      </c>
      <c r="H4" s="290"/>
      <c r="I4" s="290"/>
      <c r="J4" s="291"/>
      <c r="K4" s="271" t="s">
        <v>31</v>
      </c>
      <c r="L4" s="271"/>
      <c r="M4" s="272"/>
      <c r="N4" s="189"/>
      <c r="O4" s="268"/>
      <c r="P4" s="268"/>
    </row>
    <row r="5" spans="2:16" s="186" customFormat="1" ht="6" customHeight="1" x14ac:dyDescent="0.25">
      <c r="B5" s="190"/>
      <c r="C5" s="191"/>
      <c r="D5" s="191"/>
      <c r="E5" s="191"/>
      <c r="F5" s="191"/>
      <c r="G5" s="191"/>
      <c r="H5" s="191"/>
      <c r="I5" s="191"/>
      <c r="J5" s="191"/>
      <c r="K5" s="192"/>
      <c r="L5" s="192"/>
      <c r="M5" s="192"/>
      <c r="N5" s="192"/>
      <c r="O5" s="193"/>
      <c r="P5" s="194"/>
    </row>
    <row r="6" spans="2:16" ht="15.75" thickBot="1" x14ac:dyDescent="0.3">
      <c r="B6" s="176" t="str">
        <f>cal!B7</f>
        <v>Temperaturen</v>
      </c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284" t="str">
        <f>cal!M7</f>
        <v>h_atm</v>
      </c>
      <c r="N6" s="285">
        <v>0</v>
      </c>
      <c r="O6" s="195"/>
      <c r="P6" s="196"/>
    </row>
    <row r="7" spans="2:16" ht="15.75" thickTop="1" x14ac:dyDescent="0.25">
      <c r="B7" s="176" t="str">
        <f>cal!B8</f>
        <v>Verwarmen:</v>
      </c>
      <c r="C7" s="192"/>
      <c r="D7" s="192"/>
      <c r="E7" s="192"/>
      <c r="F7" s="192"/>
      <c r="G7" s="198" t="str">
        <f>cal!G8</f>
        <v>Koelen:</v>
      </c>
      <c r="H7" s="198"/>
      <c r="I7" s="198"/>
      <c r="J7" s="192"/>
      <c r="K7" s="192"/>
      <c r="L7" s="192"/>
      <c r="M7" s="269">
        <v>0</v>
      </c>
      <c r="N7" s="270">
        <v>0</v>
      </c>
      <c r="O7" s="249" t="str">
        <f>IF(UnitsNo=1,"m",IF(UnitsNo=2,"ft"))</f>
        <v>m</v>
      </c>
      <c r="P7" s="199"/>
    </row>
    <row r="8" spans="2:16" ht="15.75" thickBot="1" x14ac:dyDescent="0.3">
      <c r="B8" s="273" t="str">
        <f>cal!B9</f>
        <v>Water aanvoer</v>
      </c>
      <c r="C8" s="274">
        <f>cal!C9</f>
        <v>0</v>
      </c>
      <c r="D8" s="275">
        <f>cal!D9</f>
        <v>0</v>
      </c>
      <c r="E8" s="147">
        <v>75</v>
      </c>
      <c r="F8" s="175" t="str">
        <f>cal!F9</f>
        <v>°C</v>
      </c>
      <c r="G8" s="276" t="str">
        <f>cal!G9</f>
        <v>Water aanvoer</v>
      </c>
      <c r="H8" s="276">
        <f>cal!H9</f>
        <v>0</v>
      </c>
      <c r="I8" s="276">
        <f>cal!I9</f>
        <v>0</v>
      </c>
      <c r="J8" s="277">
        <f>cal!J9</f>
        <v>0</v>
      </c>
      <c r="K8" s="147">
        <v>8</v>
      </c>
      <c r="L8" s="192" t="str">
        <f>cal!L9</f>
        <v>°C</v>
      </c>
      <c r="M8" s="292" t="str">
        <f>cal!M9</f>
        <v>Eenheidsstelsel</v>
      </c>
      <c r="N8" s="293"/>
      <c r="O8" s="192"/>
      <c r="P8" s="200"/>
    </row>
    <row r="9" spans="2:16" ht="15.75" thickTop="1" x14ac:dyDescent="0.25">
      <c r="B9" s="273" t="str">
        <f>cal!B10</f>
        <v>Water retour</v>
      </c>
      <c r="C9" s="274">
        <f>cal!C10</f>
        <v>0</v>
      </c>
      <c r="D9" s="275">
        <f>cal!D10</f>
        <v>0</v>
      </c>
      <c r="E9" s="147">
        <v>65</v>
      </c>
      <c r="F9" s="175" t="str">
        <f>cal!F10</f>
        <v>°C</v>
      </c>
      <c r="G9" s="276" t="str">
        <f>cal!G10</f>
        <v>Water retour</v>
      </c>
      <c r="H9" s="276">
        <f>cal!H10</f>
        <v>0</v>
      </c>
      <c r="I9" s="276">
        <f>cal!I10</f>
        <v>0</v>
      </c>
      <c r="J9" s="277">
        <f>cal!J10</f>
        <v>0</v>
      </c>
      <c r="K9" s="147">
        <v>14</v>
      </c>
      <c r="L9" s="192" t="str">
        <f>cal!L10</f>
        <v>°C</v>
      </c>
      <c r="M9" s="278"/>
      <c r="N9" s="279"/>
      <c r="O9" s="192"/>
      <c r="P9" s="200"/>
    </row>
    <row r="10" spans="2:16" ht="15" x14ac:dyDescent="0.25">
      <c r="B10" s="273" t="str">
        <f>cal!B11</f>
        <v>Ruimte</v>
      </c>
      <c r="C10" s="274">
        <f>cal!C11</f>
        <v>0</v>
      </c>
      <c r="D10" s="275">
        <f>cal!D11</f>
        <v>0</v>
      </c>
      <c r="E10" s="147">
        <v>20</v>
      </c>
      <c r="F10" s="175" t="str">
        <f>cal!F11</f>
        <v>°C</v>
      </c>
      <c r="G10" s="276" t="str">
        <f>cal!G11</f>
        <v>Ruimte</v>
      </c>
      <c r="H10" s="276">
        <f>cal!H11</f>
        <v>0</v>
      </c>
      <c r="I10" s="276">
        <f>cal!I11</f>
        <v>0</v>
      </c>
      <c r="J10" s="277">
        <f>cal!J11</f>
        <v>0</v>
      </c>
      <c r="K10" s="147">
        <v>25</v>
      </c>
      <c r="L10" s="192" t="str">
        <f>cal!L11</f>
        <v>°C</v>
      </c>
      <c r="M10" s="280"/>
      <c r="N10" s="281"/>
      <c r="O10" s="192"/>
      <c r="P10" s="200"/>
    </row>
    <row r="11" spans="2:16" ht="15" x14ac:dyDescent="0.25">
      <c r="B11" s="201"/>
      <c r="C11" s="192"/>
      <c r="D11" s="192"/>
      <c r="E11" s="192"/>
      <c r="F11" s="192"/>
      <c r="G11" s="273" t="str">
        <f>cal!G12</f>
        <v>Relatieve vochtigheid</v>
      </c>
      <c r="H11" s="274"/>
      <c r="I11" s="274"/>
      <c r="J11" s="275"/>
      <c r="K11" s="148">
        <v>0.5</v>
      </c>
      <c r="L11" s="192"/>
      <c r="M11" s="280"/>
      <c r="N11" s="281"/>
      <c r="O11" s="192"/>
      <c r="P11" s="200"/>
    </row>
    <row r="12" spans="2:16" ht="6" customHeight="1" x14ac:dyDescent="0.25">
      <c r="B12" s="202"/>
      <c r="C12" s="203"/>
      <c r="D12" s="203"/>
      <c r="E12" s="203"/>
      <c r="F12" s="204"/>
      <c r="G12" s="204"/>
      <c r="H12" s="204"/>
      <c r="I12" s="204"/>
      <c r="J12" s="204"/>
      <c r="K12" s="204"/>
      <c r="L12" s="204"/>
      <c r="M12" s="282"/>
      <c r="N12" s="283"/>
      <c r="O12" s="205"/>
      <c r="P12" s="206"/>
    </row>
    <row r="13" spans="2:16" ht="15" x14ac:dyDescent="0.25">
      <c r="B13" s="207"/>
      <c r="C13" s="207"/>
      <c r="D13" s="208">
        <f>cal!D14</f>
        <v>1</v>
      </c>
      <c r="E13" s="208">
        <f>cal!E14</f>
        <v>1</v>
      </c>
      <c r="F13" s="208">
        <f>cal!F14</f>
        <v>1</v>
      </c>
      <c r="G13" s="208">
        <f>cal!G14</f>
        <v>1</v>
      </c>
      <c r="H13" s="208">
        <f>cal!H14</f>
        <v>1</v>
      </c>
      <c r="I13" s="208">
        <f>cal!I14</f>
        <v>1</v>
      </c>
      <c r="J13" s="208">
        <f>cal!J14</f>
        <v>1</v>
      </c>
      <c r="K13" s="209">
        <f>cal!K14</f>
        <v>3.3444444444444401E-4</v>
      </c>
      <c r="L13" s="209">
        <f>cal!L14</f>
        <v>0</v>
      </c>
      <c r="M13" s="209">
        <f>cal!M14</f>
        <v>1</v>
      </c>
      <c r="N13" s="208">
        <f>cal!N14</f>
        <v>1</v>
      </c>
    </row>
    <row r="14" spans="2:16" s="217" customFormat="1" ht="103.5" customHeight="1" x14ac:dyDescent="0.25">
      <c r="B14" s="210" t="str">
        <f>cal!B15</f>
        <v>Snelheidsniveau</v>
      </c>
      <c r="C14" s="211" t="str">
        <f>cal!C15</f>
        <v>Stuurspanning [V]</v>
      </c>
      <c r="D14" s="212" t="str">
        <f>cal!D15</f>
        <v>Warmteafgifte  75/65/20 [W]</v>
      </c>
      <c r="E14" s="213" t="str">
        <f>cal!E15</f>
        <v>Waterdebiet, verwarming [l/h]</v>
      </c>
      <c r="F14" s="214" t="str">
        <f>cal!F15</f>
        <v>Waterzijdig drukverlies [kPa]</v>
      </c>
      <c r="G14" s="256" t="str">
        <f>cal!G15</f>
        <v>Voelb. Koelcapaciteit  8/14/25 [W]</v>
      </c>
      <c r="H14" s="257" t="str">
        <f>cal!H15</f>
        <v>Tot. koelcapaciteit 8/14/25 [W]</v>
      </c>
      <c r="I14" s="213" t="str">
        <f>cal!I15</f>
        <v>Waterdebiet, koeling [l/h]</v>
      </c>
      <c r="J14" s="214" t="str">
        <f>cal!J15</f>
        <v>Waterzijdig drukverlies [kPa]</v>
      </c>
      <c r="K14" s="215" t="str">
        <f>cal!K15</f>
        <v>Geluidsdruk ** [dB(A)]</v>
      </c>
      <c r="L14" s="216" t="str">
        <f>cal!L15</f>
        <v>Geluidsvermogen * [dB(A)]</v>
      </c>
      <c r="M14" s="258" t="str">
        <f>cal!M15</f>
        <v>Opgenomen elektr. vermogen [W]</v>
      </c>
      <c r="N14" s="259" t="str">
        <f>cal!N15</f>
        <v>Luchtdebiet [m³/h]</v>
      </c>
      <c r="O14" s="260" t="str">
        <f>cal!O15</f>
        <v>Uitblaastemp. verwarming  [°C]</v>
      </c>
      <c r="P14" s="261" t="str">
        <f>cal!P15</f>
        <v>Uitblaastemp. koeling  [°C]</v>
      </c>
    </row>
    <row r="15" spans="2:16" ht="18" customHeight="1" x14ac:dyDescent="0.25">
      <c r="B15" s="298" t="str">
        <f>cal!B16</f>
        <v>Briza 12 hoogte 41 cm breedte 14 cm lengte 75 cm (Type 1)</v>
      </c>
      <c r="C15" s="299"/>
      <c r="D15" s="299"/>
      <c r="E15" s="299"/>
      <c r="F15" s="299"/>
      <c r="G15" s="299"/>
      <c r="H15" s="299"/>
      <c r="I15" s="299"/>
      <c r="J15" s="299"/>
      <c r="K15" s="299"/>
      <c r="L15" s="299"/>
      <c r="M15" s="299"/>
      <c r="N15" s="299"/>
      <c r="O15" s="299"/>
      <c r="P15" s="300"/>
    </row>
    <row r="16" spans="2:16" ht="15" x14ac:dyDescent="0.25">
      <c r="B16" s="218">
        <f>cal!B17</f>
        <v>0.2</v>
      </c>
      <c r="C16" s="219">
        <f>cal!C17</f>
        <v>2</v>
      </c>
      <c r="D16" s="220">
        <f>IF($E$8&lt;=$E$9,cal!$Z$3,cal!D17)</f>
        <v>902.63201467340218</v>
      </c>
      <c r="E16" s="221">
        <f>IF($E$8&lt;=$E$9,"",cal!E17)</f>
        <v>78</v>
      </c>
      <c r="F16" s="222">
        <f>IF($E$8&lt;=$E$9,"",cal!F17)</f>
        <v>0.18531046187992548</v>
      </c>
      <c r="G16" s="223">
        <f>IF($K$8&gt;=$K$9,cal!$Z$3,cal!G17)</f>
        <v>159.54351779103268</v>
      </c>
      <c r="H16" s="223">
        <f>IF($K$8&gt;=$K$9,"",cal!H17)</f>
        <v>194.56512269372098</v>
      </c>
      <c r="I16" s="221">
        <f>IF($K$8&gt;=$K$9,"",cal!I17)</f>
        <v>28</v>
      </c>
      <c r="J16" s="224">
        <f>IF($K$8&gt;=$K$9,"",cal!J17)</f>
        <v>2.8253340526348231E-2</v>
      </c>
      <c r="K16" s="225">
        <f>cal!K17</f>
        <v>18.5</v>
      </c>
      <c r="L16" s="226">
        <f>cal!L17</f>
        <v>26.5</v>
      </c>
      <c r="M16" s="227">
        <f>cal!M17</f>
        <v>1.6</v>
      </c>
      <c r="N16" s="228">
        <f>cal!N17</f>
        <v>64</v>
      </c>
      <c r="O16" s="227">
        <f>IF($E$8&lt;=$E$9,"",cal!O17)</f>
        <v>49.535036178529445</v>
      </c>
      <c r="P16" s="229">
        <f>IF($K$8&gt;=$K$9,"",cal!P17)</f>
        <v>17.59069926310443</v>
      </c>
    </row>
    <row r="17" spans="2:16" ht="15" x14ac:dyDescent="0.25">
      <c r="B17" s="218">
        <f>cal!B18</f>
        <v>0.4</v>
      </c>
      <c r="C17" s="219">
        <f>cal!C18</f>
        <v>4</v>
      </c>
      <c r="D17" s="220">
        <f>IF($E$8&lt;=$E$9,cal!$Z$4,cal!D18)</f>
        <v>1034.5570615128618</v>
      </c>
      <c r="E17" s="221">
        <f>IF($E$8&lt;=$E$9,"",cal!E18)</f>
        <v>89</v>
      </c>
      <c r="F17" s="222">
        <f>IF($E$8&lt;=$E$9,"",cal!F18)</f>
        <v>0.2360939438701031</v>
      </c>
      <c r="G17" s="223">
        <f>IF($K$8&gt;=$K$9,cal!$Z$5,cal!G18)</f>
        <v>186.22089368908536</v>
      </c>
      <c r="H17" s="223">
        <f>IF($K$8&gt;=$K$9,"",cal!H18)</f>
        <v>223.30589330196105</v>
      </c>
      <c r="I17" s="221">
        <f>IF($K$8&gt;=$K$9,"",cal!I18)</f>
        <v>32</v>
      </c>
      <c r="J17" s="224">
        <f>IF($K$8&gt;=$K$9,"",cal!J18)</f>
        <v>3.6102181928819276E-2</v>
      </c>
      <c r="K17" s="225">
        <f>cal!K18</f>
        <v>29.4</v>
      </c>
      <c r="L17" s="226">
        <f>cal!L18</f>
        <v>37.4</v>
      </c>
      <c r="M17" s="227">
        <f>cal!M18</f>
        <v>2.6</v>
      </c>
      <c r="N17" s="228">
        <f>cal!N18</f>
        <v>101</v>
      </c>
      <c r="O17" s="227">
        <f>IF($E$8&lt;=$E$9,"",cal!O18)</f>
        <v>45.400192765495731</v>
      </c>
      <c r="P17" s="229">
        <f>IF($K$8&gt;=$K$9,"",cal!P18)</f>
        <v>19.519943124707005</v>
      </c>
    </row>
    <row r="18" spans="2:16" ht="15" x14ac:dyDescent="0.25">
      <c r="B18" s="218">
        <f>cal!B19</f>
        <v>0.6</v>
      </c>
      <c r="C18" s="219">
        <f>cal!C19</f>
        <v>6</v>
      </c>
      <c r="D18" s="220">
        <f>IF($E$8&lt;=$E$9,"",cal!D19)</f>
        <v>1194.3093068594899</v>
      </c>
      <c r="E18" s="221">
        <f>IF($E$8&lt;=$E$9,"",cal!E19)</f>
        <v>103</v>
      </c>
      <c r="F18" s="222">
        <f>IF($E$8&lt;=$E$9,"",cal!F19)</f>
        <v>0.30871907985679409</v>
      </c>
      <c r="G18" s="223">
        <f>IF($K$8&gt;=$K$9,"",cal!G19)</f>
        <v>219.19736657449309</v>
      </c>
      <c r="H18" s="223">
        <f>IF($K$8&gt;=$K$9,"",cal!H19)</f>
        <v>258.53193713791353</v>
      </c>
      <c r="I18" s="221">
        <f>IF($K$8&gt;=$K$9,"",cal!I19)</f>
        <v>37</v>
      </c>
      <c r="J18" s="224">
        <f>IF($K$8&gt;=$K$9,"",cal!J19)</f>
        <v>4.7128764278136212E-2</v>
      </c>
      <c r="K18" s="225">
        <f>cal!K19</f>
        <v>31.299999999999997</v>
      </c>
      <c r="L18" s="226">
        <f>cal!L19</f>
        <v>39.299999999999997</v>
      </c>
      <c r="M18" s="227">
        <f>cal!M19</f>
        <v>4.3</v>
      </c>
      <c r="N18" s="228">
        <f>cal!N19</f>
        <v>141</v>
      </c>
      <c r="O18" s="227">
        <f>IF($E$8&lt;=$E$9,"",cal!O19)</f>
        <v>45.175362756510168</v>
      </c>
      <c r="P18" s="229">
        <f>IF($K$8&gt;=$K$9,"",cal!P19)</f>
        <v>20.379443844998995</v>
      </c>
    </row>
    <row r="19" spans="2:16" ht="15" x14ac:dyDescent="0.25">
      <c r="B19" s="218">
        <f>cal!B20</f>
        <v>0.8</v>
      </c>
      <c r="C19" s="219">
        <f>cal!C20</f>
        <v>8</v>
      </c>
      <c r="D19" s="220">
        <f>IF($E$8&lt;=$E$9,"",cal!D20)</f>
        <v>1399.1815197239785</v>
      </c>
      <c r="E19" s="221">
        <f>IF($E$8&lt;=$E$9,"",cal!E20)</f>
        <v>120</v>
      </c>
      <c r="F19" s="222">
        <f>IF($E$8&lt;=$E$9,"",cal!F20)</f>
        <v>0.40865813454100908</v>
      </c>
      <c r="G19" s="223">
        <f>IF($K$8&gt;=$K$9,"",cal!G20)</f>
        <v>256.47490318319649</v>
      </c>
      <c r="H19" s="223">
        <f>IF($K$8&gt;=$K$9,"",cal!H20)</f>
        <v>297.61034623642939</v>
      </c>
      <c r="I19" s="221">
        <f>IF($K$8&gt;=$K$9,"",cal!I20)</f>
        <v>43</v>
      </c>
      <c r="J19" s="224">
        <f>IF($K$8&gt;=$K$9,"",cal!J20)</f>
        <v>6.2101916551399849E-2</v>
      </c>
      <c r="K19" s="225">
        <f>cal!K20</f>
        <v>37.299999999999997</v>
      </c>
      <c r="L19" s="226">
        <f>cal!L20</f>
        <v>45.3</v>
      </c>
      <c r="M19" s="227">
        <f>cal!M20</f>
        <v>7.2</v>
      </c>
      <c r="N19" s="228">
        <f>cal!N20</f>
        <v>178</v>
      </c>
      <c r="O19" s="227">
        <f>IF($E$8&lt;=$E$9,"",cal!O20)</f>
        <v>47.69950606055594</v>
      </c>
      <c r="P19" s="229">
        <f>IF($K$8&gt;=$K$9,"",cal!P20)</f>
        <v>20.717445432580575</v>
      </c>
    </row>
    <row r="20" spans="2:16" ht="15" x14ac:dyDescent="0.25">
      <c r="B20" s="218">
        <f>cal!B21</f>
        <v>1</v>
      </c>
      <c r="C20" s="219">
        <f>cal!C21</f>
        <v>10</v>
      </c>
      <c r="D20" s="220">
        <f>IF($E$8&lt;=$E$9,"",cal!D21)</f>
        <v>1669.3181923753664</v>
      </c>
      <c r="E20" s="221">
        <f>IF($E$8&lt;=$E$9,"",cal!E21)</f>
        <v>144</v>
      </c>
      <c r="F20" s="222">
        <f>IF($E$8&lt;=$E$9,"",cal!F21)</f>
        <v>0.57111537473791807</v>
      </c>
      <c r="G20" s="223">
        <f>IF($K$8&gt;=$K$9,"",cal!G21)</f>
        <v>296.05547025113628</v>
      </c>
      <c r="H20" s="223">
        <f>IF($K$8&gt;=$K$9,"",cal!H21)</f>
        <v>338.07570171524912</v>
      </c>
      <c r="I20" s="221">
        <f>IF($K$8&gt;=$K$9,"",cal!I21)</f>
        <v>48</v>
      </c>
      <c r="J20" s="224">
        <f>IF($K$8&gt;=$K$9,"",cal!J21)</f>
        <v>7.5999012387659132E-2</v>
      </c>
      <c r="K20" s="225">
        <f>cal!K21</f>
        <v>42.5</v>
      </c>
      <c r="L20" s="226">
        <f>cal!L21</f>
        <v>50.5</v>
      </c>
      <c r="M20" s="227">
        <f>cal!M21</f>
        <v>13</v>
      </c>
      <c r="N20" s="228">
        <f>cal!N21</f>
        <v>214</v>
      </c>
      <c r="O20" s="227">
        <f>IF($E$8&lt;=$E$9,"",cal!O21)</f>
        <v>51.821762068403658</v>
      </c>
      <c r="P20" s="229">
        <f>IF($K$8&gt;=$K$9,"",cal!P21)</f>
        <v>20.888149180706382</v>
      </c>
    </row>
    <row r="21" spans="2:16" ht="16.899999999999999" customHeight="1" x14ac:dyDescent="0.25">
      <c r="B21" s="298" t="str">
        <f>cal!B22</f>
        <v>Briza 12 hoogte 41 cm breedte 14 cm lengte 95 cm (Type 2)</v>
      </c>
      <c r="C21" s="299"/>
      <c r="D21" s="299"/>
      <c r="E21" s="299"/>
      <c r="F21" s="299"/>
      <c r="G21" s="299"/>
      <c r="H21" s="299"/>
      <c r="I21" s="299"/>
      <c r="J21" s="299"/>
      <c r="K21" s="299"/>
      <c r="L21" s="299"/>
      <c r="M21" s="299"/>
      <c r="N21" s="299"/>
      <c r="O21" s="299"/>
      <c r="P21" s="300"/>
    </row>
    <row r="22" spans="2:16" ht="15" x14ac:dyDescent="0.25">
      <c r="B22" s="218">
        <f>cal!B23</f>
        <v>0.2</v>
      </c>
      <c r="C22" s="219">
        <f>cal!C23</f>
        <v>2</v>
      </c>
      <c r="D22" s="220">
        <f>IF($E$8&lt;=$E$9,cal!$Z$3,cal!D23)</f>
        <v>1545.0574900003676</v>
      </c>
      <c r="E22" s="221">
        <f>IF($E$8&lt;=$E$9,"",cal!E23)</f>
        <v>133</v>
      </c>
      <c r="F22" s="222">
        <f>IF($E$8&lt;=$E$9,"",cal!F23)</f>
        <v>0.63736800784716341</v>
      </c>
      <c r="G22" s="223">
        <f>IF($K$8&gt;=$K$9,cal!$Z$3,cal!G23)</f>
        <v>264.48417906365233</v>
      </c>
      <c r="H22" s="223">
        <f>IF($K$8&gt;=$K$9,"",cal!H23)</f>
        <v>322.54144488319611</v>
      </c>
      <c r="I22" s="221">
        <f>IF($K$8&gt;=$K$9,"",cal!I23)</f>
        <v>46</v>
      </c>
      <c r="J22" s="224">
        <f>IF($K$8&gt;=$K$9,"",cal!J23)</f>
        <v>9.2809571561283735E-2</v>
      </c>
      <c r="K22" s="225">
        <f>cal!K23</f>
        <v>24</v>
      </c>
      <c r="L22" s="226">
        <f>cal!L23</f>
        <v>32</v>
      </c>
      <c r="M22" s="227">
        <f>cal!M23</f>
        <v>2.5</v>
      </c>
      <c r="N22" s="228">
        <f>cal!N23</f>
        <v>108</v>
      </c>
      <c r="O22" s="227">
        <f>IF($E$8&lt;=$E$9,"",cal!O23)</f>
        <v>50.016443751673116</v>
      </c>
      <c r="P22" s="229">
        <f>IF($K$8&gt;=$K$9,"",cal!P23)</f>
        <v>17.721297380070279</v>
      </c>
    </row>
    <row r="23" spans="2:16" ht="15" x14ac:dyDescent="0.25">
      <c r="B23" s="218">
        <f>cal!B24</f>
        <v>0.4</v>
      </c>
      <c r="C23" s="219">
        <f>cal!C24</f>
        <v>4</v>
      </c>
      <c r="D23" s="220">
        <f>IF($E$8&lt;=$E$9,cal!$Z$4,cal!D24)</f>
        <v>1699.4501618638099</v>
      </c>
      <c r="E23" s="221">
        <f>IF($E$8&lt;=$E$9,"",cal!E24)</f>
        <v>146</v>
      </c>
      <c r="F23" s="222">
        <f>IF($E$8&lt;=$E$9,"",cal!F24)</f>
        <v>0.75490492021048317</v>
      </c>
      <c r="G23" s="223">
        <f>IF($K$8&gt;=$K$9,cal!$Z$5,cal!G24)</f>
        <v>300.46099720001661</v>
      </c>
      <c r="H23" s="223">
        <f>IF($K$8&gt;=$K$9,"",cal!H24)</f>
        <v>360.29636660518418</v>
      </c>
      <c r="I23" s="221">
        <f>IF($K$8&gt;=$K$9,"",cal!I24)</f>
        <v>52</v>
      </c>
      <c r="J23" s="224">
        <f>IF($K$8&gt;=$K$9,"",cal!J24)</f>
        <v>0.11593731452928037</v>
      </c>
      <c r="K23" s="225">
        <f>cal!K24</f>
        <v>30</v>
      </c>
      <c r="L23" s="226">
        <f>cal!L24</f>
        <v>38</v>
      </c>
      <c r="M23" s="227">
        <f>cal!M24</f>
        <v>4.3</v>
      </c>
      <c r="N23" s="228">
        <f>cal!N24</f>
        <v>172</v>
      </c>
      <c r="O23" s="227">
        <f>IF($E$8&lt;=$E$9,"",cal!O24)</f>
        <v>44.430204815871967</v>
      </c>
      <c r="P23" s="229">
        <f>IF($K$8&gt;=$K$9,"",cal!P24)</f>
        <v>19.807964054504478</v>
      </c>
    </row>
    <row r="24" spans="2:16" ht="15" x14ac:dyDescent="0.25">
      <c r="B24" s="218">
        <f>cal!B25</f>
        <v>0.6</v>
      </c>
      <c r="C24" s="219">
        <f>cal!C25</f>
        <v>6</v>
      </c>
      <c r="D24" s="220">
        <f>IF($E$8&lt;=$E$9,"",cal!D25)</f>
        <v>1797.2271053057073</v>
      </c>
      <c r="E24" s="221">
        <f>IF($E$8&lt;=$E$9,"",cal!E25)</f>
        <v>155</v>
      </c>
      <c r="F24" s="222">
        <f>IF($E$8&lt;=$E$9,"",cal!F25)</f>
        <v>0.84147052808091538</v>
      </c>
      <c r="G24" s="223">
        <f>IF($K$8&gt;=$K$9,"",cal!G25)</f>
        <v>348.93644722168705</v>
      </c>
      <c r="H24" s="223">
        <f>IF($K$8&gt;=$K$9,"",cal!H25)</f>
        <v>411.55246090781048</v>
      </c>
      <c r="I24" s="221">
        <f>IF($K$8&gt;=$K$9,"",cal!I25)</f>
        <v>59</v>
      </c>
      <c r="J24" s="224">
        <f>IF($K$8&gt;=$K$9,"",cal!J25)</f>
        <v>0.14580188147753229</v>
      </c>
      <c r="K24" s="225">
        <f>cal!K25</f>
        <v>36.799999999999997</v>
      </c>
      <c r="L24" s="226">
        <f>cal!L25</f>
        <v>44.8</v>
      </c>
      <c r="M24" s="227">
        <f>cal!M25</f>
        <v>7.2</v>
      </c>
      <c r="N24" s="228">
        <f>cal!N25</f>
        <v>223</v>
      </c>
      <c r="O24" s="227">
        <f>IF($E$8&lt;=$E$9,"",cal!O25)</f>
        <v>43.9538943621044</v>
      </c>
      <c r="P24" s="229">
        <f>IF($K$8&gt;=$K$9,"",cal!P25)</f>
        <v>20.349287370994467</v>
      </c>
    </row>
    <row r="25" spans="2:16" ht="15" x14ac:dyDescent="0.25">
      <c r="B25" s="218">
        <f>cal!B26</f>
        <v>0.8</v>
      </c>
      <c r="C25" s="219">
        <f>cal!C26</f>
        <v>8</v>
      </c>
      <c r="D25" s="220">
        <f>IF($E$8&lt;=$E$9,"",cal!D26)</f>
        <v>2243.0259004586364</v>
      </c>
      <c r="E25" s="221">
        <f>IF($E$8&lt;=$E$9,"",cal!E26)</f>
        <v>193</v>
      </c>
      <c r="F25" s="222">
        <f>IF($E$8&lt;=$E$9,"",cal!F26)</f>
        <v>1.2527236220879372</v>
      </c>
      <c r="G25" s="223">
        <f>IF($K$8&gt;=$K$9,"",cal!G26)</f>
        <v>410.89072764045977</v>
      </c>
      <c r="H25" s="223">
        <f>IF($K$8&gt;=$K$9,"",cal!H26)</f>
        <v>476.792583604443</v>
      </c>
      <c r="I25" s="221">
        <f>IF($K$8&gt;=$K$9,"",cal!I26)</f>
        <v>68</v>
      </c>
      <c r="J25" s="224">
        <f>IF($K$8&gt;=$K$9,"",cal!J26)</f>
        <v>0.18865080689357502</v>
      </c>
      <c r="K25" s="225">
        <f>cal!K26</f>
        <v>41.5</v>
      </c>
      <c r="L25" s="226">
        <f>cal!L26</f>
        <v>49.5</v>
      </c>
      <c r="M25" s="227">
        <f>cal!M26</f>
        <v>11.5</v>
      </c>
      <c r="N25" s="228">
        <f>cal!N26</f>
        <v>287</v>
      </c>
      <c r="O25" s="227">
        <f>IF($E$8&lt;=$E$9,"",cal!O26)</f>
        <v>47.551894755698086</v>
      </c>
      <c r="P25" s="229">
        <f>IF($K$8&gt;=$K$9,"",cal!P26)</f>
        <v>20.744775505504549</v>
      </c>
    </row>
    <row r="26" spans="2:16" ht="15" x14ac:dyDescent="0.25">
      <c r="B26" s="218">
        <f>cal!B27</f>
        <v>1</v>
      </c>
      <c r="C26" s="219">
        <f>cal!C27</f>
        <v>10</v>
      </c>
      <c r="D26" s="220">
        <f>IF($E$8&lt;=$E$9,"",cal!D27)</f>
        <v>2749.2183050241524</v>
      </c>
      <c r="E26" s="221">
        <f>IF($E$8&lt;=$E$9,"",cal!E27)</f>
        <v>236</v>
      </c>
      <c r="F26" s="222">
        <f>IF($E$8&lt;=$E$9,"",cal!F27)</f>
        <v>1.8046268223295128</v>
      </c>
      <c r="G26" s="223">
        <f>IF($K$8&gt;=$K$9,"",cal!G27)</f>
        <v>487.30403696813084</v>
      </c>
      <c r="H26" s="223">
        <f>IF($K$8&gt;=$K$9,"",cal!H27)</f>
        <v>556.46887425158877</v>
      </c>
      <c r="I26" s="221">
        <f>IF($K$8&gt;=$K$9,"",cal!I27)</f>
        <v>80</v>
      </c>
      <c r="J26" s="224">
        <f>IF($K$8&gt;=$K$9,"",cal!J27)</f>
        <v>0.25336690219813474</v>
      </c>
      <c r="K26" s="225">
        <f>cal!K27</f>
        <v>44.5</v>
      </c>
      <c r="L26" s="226">
        <f>cal!L27</f>
        <v>52.5</v>
      </c>
      <c r="M26" s="227">
        <f>cal!M27</f>
        <v>18</v>
      </c>
      <c r="N26" s="228">
        <f>cal!N27</f>
        <v>346</v>
      </c>
      <c r="O26" s="227">
        <f>IF($E$8&lt;=$E$9,"",cal!O27)</f>
        <v>52.339514593980184</v>
      </c>
      <c r="P26" s="229">
        <f>IF($K$8&gt;=$K$9,"",cal!P27)</f>
        <v>20.81397378722577</v>
      </c>
    </row>
    <row r="27" spans="2:16" ht="18" customHeight="1" x14ac:dyDescent="0.25">
      <c r="B27" s="298" t="str">
        <f>cal!B28</f>
        <v>Briza 12 hoogte 41 cm breedte 14 cm lengte 125 cm (Type 3)</v>
      </c>
      <c r="C27" s="299"/>
      <c r="D27" s="299"/>
      <c r="E27" s="299"/>
      <c r="F27" s="299"/>
      <c r="G27" s="299"/>
      <c r="H27" s="299"/>
      <c r="I27" s="299"/>
      <c r="J27" s="299"/>
      <c r="K27" s="299"/>
      <c r="L27" s="299"/>
      <c r="M27" s="299"/>
      <c r="N27" s="299"/>
      <c r="O27" s="299"/>
      <c r="P27" s="300"/>
    </row>
    <row r="28" spans="2:16" ht="15" x14ac:dyDescent="0.25">
      <c r="B28" s="218">
        <f>cal!B29</f>
        <v>0.2</v>
      </c>
      <c r="C28" s="219">
        <f>cal!C29</f>
        <v>2</v>
      </c>
      <c r="D28" s="220">
        <f>IF($E$8&lt;=$E$9,cal!$Z$3,cal!D29)</f>
        <v>2430.7625854019607</v>
      </c>
      <c r="E28" s="221">
        <f>IF($E$8&lt;=$E$9,"",cal!E29)</f>
        <v>209</v>
      </c>
      <c r="F28" s="222">
        <f>IF($E$8&lt;=$E$9,"",cal!F29)</f>
        <v>1.9543348859943828</v>
      </c>
      <c r="G28" s="223">
        <f>IF($K$8&gt;=$K$9,cal!$Z$3,cal!G29)</f>
        <v>433.432567511191</v>
      </c>
      <c r="H28" s="223">
        <f>IF($K$8&gt;=$K$9,"",cal!H29)</f>
        <v>528.57591361201196</v>
      </c>
      <c r="I28" s="221">
        <f>IF($K$8&gt;=$K$9,"",cal!I29)</f>
        <v>76</v>
      </c>
      <c r="J28" s="224">
        <f>IF($K$8&gt;=$K$9,"",cal!J29)</f>
        <v>0.311747050009198</v>
      </c>
      <c r="K28" s="225">
        <f>cal!K29</f>
        <v>24.6</v>
      </c>
      <c r="L28" s="226">
        <f>cal!L29</f>
        <v>32.6</v>
      </c>
      <c r="M28" s="227">
        <f>cal!M29</f>
        <v>2.6</v>
      </c>
      <c r="N28" s="228">
        <f>cal!N29</f>
        <v>146</v>
      </c>
      <c r="O28" s="227">
        <f>IF($E$8&lt;=$E$9,"",cal!O29)</f>
        <v>55.587466361196896</v>
      </c>
      <c r="P28" s="229">
        <f>IF($K$8&gt;=$K$9,"",cal!P29)</f>
        <v>16.1763815966425</v>
      </c>
    </row>
    <row r="29" spans="2:16" ht="15" x14ac:dyDescent="0.25">
      <c r="B29" s="218">
        <f>cal!B30</f>
        <v>0.4</v>
      </c>
      <c r="C29" s="219">
        <f>cal!C30</f>
        <v>4</v>
      </c>
      <c r="D29" s="220">
        <f>IF($E$8&lt;=$E$9,cal!$Z$4,cal!D30)</f>
        <v>2716.9454438791599</v>
      </c>
      <c r="E29" s="221">
        <f>IF($E$8&lt;=$E$9,"",cal!E30)</f>
        <v>234</v>
      </c>
      <c r="F29" s="222">
        <f>IF($E$8&lt;=$E$9,"",cal!F30)</f>
        <v>2.3990471777944511</v>
      </c>
      <c r="G29" s="223">
        <f>IF($K$8&gt;=$K$9,cal!$Z$5,cal!G30)</f>
        <v>479.84173111297503</v>
      </c>
      <c r="H29" s="223">
        <f>IF($K$8&gt;=$K$9,"",cal!H30)</f>
        <v>575.39991505272519</v>
      </c>
      <c r="I29" s="221">
        <f>IF($K$8&gt;=$K$9,"",cal!I30)</f>
        <v>82</v>
      </c>
      <c r="J29" s="224">
        <f>IF($K$8&gt;=$K$9,"",cal!J30)</f>
        <v>0.35783546983267578</v>
      </c>
      <c r="K29" s="225">
        <f>cal!K30</f>
        <v>30.200000000000003</v>
      </c>
      <c r="L29" s="226">
        <f>cal!L30</f>
        <v>38.200000000000003</v>
      </c>
      <c r="M29" s="227">
        <f>cal!M30</f>
        <v>4.8</v>
      </c>
      <c r="N29" s="228">
        <f>cal!N30</f>
        <v>221</v>
      </c>
      <c r="O29" s="227">
        <f>IF($E$8&lt;=$E$9,"",cal!O30)</f>
        <v>50.885858725701176</v>
      </c>
      <c r="P29" s="229">
        <f>IF($K$8&gt;=$K$9,"",cal!P30)</f>
        <v>18.546671475160132</v>
      </c>
    </row>
    <row r="30" spans="2:16" ht="15" x14ac:dyDescent="0.25">
      <c r="B30" s="218">
        <f>cal!B31</f>
        <v>0.6</v>
      </c>
      <c r="C30" s="219">
        <f>cal!C31</f>
        <v>6</v>
      </c>
      <c r="D30" s="220">
        <f>IF($E$8&lt;=$E$9,"",cal!D31)</f>
        <v>3089.5460115724723</v>
      </c>
      <c r="E30" s="221">
        <f>IF($E$8&lt;=$E$9,"",cal!E31)</f>
        <v>266</v>
      </c>
      <c r="F30" s="222">
        <f>IF($E$8&lt;=$E$9,"",cal!F31)</f>
        <v>3.0272467676397294</v>
      </c>
      <c r="G30" s="223">
        <f>IF($K$8&gt;=$K$9,"",cal!G31)</f>
        <v>547.61906981262803</v>
      </c>
      <c r="H30" s="223">
        <f>IF($K$8&gt;=$K$9,"",cal!H31)</f>
        <v>645.88832039734746</v>
      </c>
      <c r="I30" s="221">
        <f>IF($K$8&gt;=$K$9,"",cal!I31)</f>
        <v>93</v>
      </c>
      <c r="J30" s="224">
        <f>IF($K$8&gt;=$K$9,"",cal!J31)</f>
        <v>0.44965960948814393</v>
      </c>
      <c r="K30" s="225">
        <f>cal!K31</f>
        <v>37</v>
      </c>
      <c r="L30" s="226">
        <f>cal!L31</f>
        <v>45</v>
      </c>
      <c r="M30" s="227">
        <f>cal!M31</f>
        <v>8</v>
      </c>
      <c r="N30" s="228">
        <f>cal!N31</f>
        <v>298</v>
      </c>
      <c r="O30" s="227">
        <f>IF($E$8&lt;=$E$9,"",cal!O31)</f>
        <v>50.814593036833827</v>
      </c>
      <c r="P30" s="229">
        <f>IF($K$8&gt;=$K$9,"",cal!P31)</f>
        <v>19.538142914111511</v>
      </c>
    </row>
    <row r="31" spans="2:16" ht="15" x14ac:dyDescent="0.25">
      <c r="B31" s="218">
        <f>cal!B32</f>
        <v>0.8</v>
      </c>
      <c r="C31" s="219">
        <f>cal!C32</f>
        <v>8</v>
      </c>
      <c r="D31" s="220">
        <f>IF($E$8&lt;=$E$9,"",cal!D32)</f>
        <v>3617.0023351126511</v>
      </c>
      <c r="E31" s="221">
        <f>IF($E$8&lt;=$E$9,"",cal!E32)</f>
        <v>311</v>
      </c>
      <c r="F31" s="222">
        <f>IF($E$8&lt;=$E$9,"",cal!F32)</f>
        <v>4.0199260404040116</v>
      </c>
      <c r="G31" s="223">
        <f>IF($K$8&gt;=$K$9,"",cal!G32)</f>
        <v>643.1184805911148</v>
      </c>
      <c r="H31" s="223">
        <f>IF($K$8&gt;=$K$9,"",cal!H32)</f>
        <v>746.26683275538505</v>
      </c>
      <c r="I31" s="221">
        <f>IF($K$8&gt;=$K$9,"",cal!I32)</f>
        <v>107</v>
      </c>
      <c r="J31" s="224">
        <f>IF($K$8&gt;=$K$9,"",cal!J32)</f>
        <v>0.57995225288353469</v>
      </c>
      <c r="K31" s="225">
        <f>cal!K32</f>
        <v>42.5</v>
      </c>
      <c r="L31" s="226">
        <f>cal!L32</f>
        <v>50.5</v>
      </c>
      <c r="M31" s="227">
        <f>cal!M32</f>
        <v>14</v>
      </c>
      <c r="N31" s="228">
        <f>cal!N32</f>
        <v>381</v>
      </c>
      <c r="O31" s="227">
        <f>IF($E$8&lt;=$E$9,"",cal!O32)</f>
        <v>53.038057385333971</v>
      </c>
      <c r="P31" s="229">
        <f>IF($K$8&gt;=$K$9,"",cal!P32)</f>
        <v>19.98300062347721</v>
      </c>
    </row>
    <row r="32" spans="2:16" ht="15" x14ac:dyDescent="0.25">
      <c r="B32" s="218">
        <f>cal!B33</f>
        <v>1</v>
      </c>
      <c r="C32" s="219">
        <f>cal!C33</f>
        <v>10</v>
      </c>
      <c r="D32" s="220">
        <f>IF($E$8&lt;=$E$9,"",cal!D33)</f>
        <v>4366.7392104562587</v>
      </c>
      <c r="E32" s="221">
        <f>IF($E$8&lt;=$E$9,"",cal!E33)</f>
        <v>375</v>
      </c>
      <c r="F32" s="222">
        <f>IF($E$8&lt;=$E$9,"",cal!F33)</f>
        <v>5.6453276342813101</v>
      </c>
      <c r="G32" s="223">
        <f>IF($K$8&gt;=$K$9,"",cal!G33)</f>
        <v>772.69386042939959</v>
      </c>
      <c r="H32" s="223">
        <f>IF($K$8&gt;=$K$9,"",cal!H33)</f>
        <v>882.36511507164562</v>
      </c>
      <c r="I32" s="221">
        <f>IF($K$8&gt;=$K$9,"",cal!I33)</f>
        <v>126</v>
      </c>
      <c r="J32" s="224">
        <f>IF($K$8&gt;=$K$9,"",cal!J33)</f>
        <v>0.78019320961980299</v>
      </c>
      <c r="K32" s="225">
        <f>cal!K33</f>
        <v>47</v>
      </c>
      <c r="L32" s="226">
        <f>cal!L33</f>
        <v>55</v>
      </c>
      <c r="M32" s="227">
        <f>cal!M33</f>
        <v>24</v>
      </c>
      <c r="N32" s="228">
        <f>cal!N33</f>
        <v>448</v>
      </c>
      <c r="O32" s="227">
        <f>IF($E$8&lt;=$E$9,"",cal!O33)</f>
        <v>58.764702801911568</v>
      </c>
      <c r="P32" s="229">
        <f>IF($K$8&gt;=$K$9,"",cal!P33)</f>
        <v>19.873659130981341</v>
      </c>
    </row>
    <row r="33" spans="2:16" ht="16.899999999999999" customHeight="1" x14ac:dyDescent="0.25">
      <c r="B33" s="298" t="str">
        <f>cal!B34</f>
        <v>Briza 12 hoogte 41 cm breedte 14 cm lengte 145 cm (Type 4)</v>
      </c>
      <c r="C33" s="299"/>
      <c r="D33" s="299"/>
      <c r="E33" s="299"/>
      <c r="F33" s="299"/>
      <c r="G33" s="299"/>
      <c r="H33" s="299"/>
      <c r="I33" s="299"/>
      <c r="J33" s="299"/>
      <c r="K33" s="299"/>
      <c r="L33" s="299"/>
      <c r="M33" s="299"/>
      <c r="N33" s="299"/>
      <c r="O33" s="299"/>
      <c r="P33" s="300"/>
    </row>
    <row r="34" spans="2:16" ht="15" x14ac:dyDescent="0.25">
      <c r="B34" s="218">
        <f>cal!B35</f>
        <v>0.2</v>
      </c>
      <c r="C34" s="219">
        <f>cal!C35</f>
        <v>2</v>
      </c>
      <c r="D34" s="220">
        <f>IF($E$8&lt;=$E$9,cal!$Z$3,cal!D35)</f>
        <v>2998.6992488417982</v>
      </c>
      <c r="E34" s="221">
        <f>IF($E$8&lt;=$E$9,"",cal!E35)</f>
        <v>258</v>
      </c>
      <c r="F34" s="222">
        <f>IF($E$8&lt;=$E$9,"",cal!F35)</f>
        <v>3.3369145804052929</v>
      </c>
      <c r="G34" s="223">
        <f>IF($K$8&gt;=$K$9,cal!$Z$3,cal!G35)</f>
        <v>569.17585721061664</v>
      </c>
      <c r="H34" s="223">
        <f>IF($K$8&gt;=$K$9,"",cal!H35)</f>
        <v>694.11638921949236</v>
      </c>
      <c r="I34" s="221">
        <f>IF($K$8&gt;=$K$9,"",cal!I35)</f>
        <v>99</v>
      </c>
      <c r="J34" s="224">
        <f>IF($K$8&gt;=$K$9,"",cal!J35)</f>
        <v>0.57859153756803883</v>
      </c>
      <c r="K34" s="225">
        <f>cal!K35</f>
        <v>25.700000000000003</v>
      </c>
      <c r="L34" s="226">
        <f>cal!L35</f>
        <v>33.700000000000003</v>
      </c>
      <c r="M34" s="227">
        <f>cal!M35</f>
        <v>2.8</v>
      </c>
      <c r="N34" s="228">
        <f>cal!N35</f>
        <v>173</v>
      </c>
      <c r="O34" s="230">
        <f>IF($E$8&lt;=$E$9,"",cal!O35)</f>
        <v>57.214954796523749</v>
      </c>
      <c r="P34" s="231">
        <f>IF($K$8&gt;=$K$9,"",cal!P35)</f>
        <v>15.221361297207142</v>
      </c>
    </row>
    <row r="35" spans="2:16" ht="15" x14ac:dyDescent="0.25">
      <c r="B35" s="218">
        <f>cal!B36</f>
        <v>0.4</v>
      </c>
      <c r="C35" s="219">
        <f>cal!C36</f>
        <v>4</v>
      </c>
      <c r="D35" s="220">
        <f>IF($E$8&lt;=$E$9,cal!$Z$4,cal!D36)</f>
        <v>3401.114332986619</v>
      </c>
      <c r="E35" s="221">
        <f>IF($E$8&lt;=$E$9,"",cal!E36)</f>
        <v>292</v>
      </c>
      <c r="F35" s="222">
        <f>IF($E$8&lt;=$E$9,"",cal!F36)</f>
        <v>4.1850016448490504</v>
      </c>
      <c r="G35" s="223">
        <f>IF($K$8&gt;=$K$9,cal!$Z$5,cal!G36)</f>
        <v>622.75078313746189</v>
      </c>
      <c r="H35" s="223">
        <f>IF($K$8&gt;=$K$9,"",cal!H36)</f>
        <v>746.76862073913173</v>
      </c>
      <c r="I35" s="221">
        <f>IF($K$8&gt;=$K$9,"",cal!I36)</f>
        <v>107</v>
      </c>
      <c r="J35" s="224">
        <f>IF($K$8&gt;=$K$9,"",cal!J36)</f>
        <v>0.66697472747650266</v>
      </c>
      <c r="K35" s="225">
        <f>cal!K36</f>
        <v>30.5</v>
      </c>
      <c r="L35" s="226">
        <f>cal!L36</f>
        <v>38.5</v>
      </c>
      <c r="M35" s="227">
        <f>cal!M36</f>
        <v>5.5</v>
      </c>
      <c r="N35" s="228">
        <f>cal!N36</f>
        <v>268</v>
      </c>
      <c r="O35" s="232">
        <f>IF($E$8&lt;=$E$9,"",cal!O36)</f>
        <v>51.947436146240086</v>
      </c>
      <c r="P35" s="229">
        <f>IF($K$8&gt;=$K$9,"",cal!P36)</f>
        <v>18.093507867066993</v>
      </c>
    </row>
    <row r="36" spans="2:16" ht="15" x14ac:dyDescent="0.25">
      <c r="B36" s="218">
        <f>cal!B37</f>
        <v>0.6</v>
      </c>
      <c r="C36" s="219">
        <f>cal!C37</f>
        <v>6</v>
      </c>
      <c r="D36" s="220">
        <f>IF($E$8&lt;=$E$9,"",cal!D37)</f>
        <v>3894.3790326170101</v>
      </c>
      <c r="E36" s="221">
        <f>IF($E$8&lt;=$E$9,"",cal!E37)</f>
        <v>335</v>
      </c>
      <c r="F36" s="222">
        <f>IF($E$8&lt;=$E$9,"",cal!F37)</f>
        <v>5.3806785537164394</v>
      </c>
      <c r="G36" s="223">
        <f>IF($K$8&gt;=$K$9,"",cal!G37)</f>
        <v>698.27525518363848</v>
      </c>
      <c r="H36" s="223">
        <f>IF($K$8&gt;=$K$9,"",cal!H37)</f>
        <v>823.57948546223054</v>
      </c>
      <c r="I36" s="221">
        <f>IF($K$8&gt;=$K$9,"",cal!I37)</f>
        <v>118</v>
      </c>
      <c r="J36" s="224">
        <f>IF($K$8&gt;=$K$9,"",cal!J37)</f>
        <v>0.79772402412621146</v>
      </c>
      <c r="K36" s="225">
        <f>cal!K37</f>
        <v>37.299999999999997</v>
      </c>
      <c r="L36" s="226">
        <f>cal!L37</f>
        <v>45.3</v>
      </c>
      <c r="M36" s="227">
        <f>cal!M37</f>
        <v>10.3</v>
      </c>
      <c r="N36" s="228">
        <f>cal!N37</f>
        <v>373</v>
      </c>
      <c r="O36" s="232">
        <f>IF($E$8&lt;=$E$9,"",cal!O37)</f>
        <v>51.031832300801319</v>
      </c>
      <c r="P36" s="229">
        <f>IF($K$8&gt;=$K$9,"",cal!P37)</f>
        <v>19.435888125636147</v>
      </c>
    </row>
    <row r="37" spans="2:16" ht="15" x14ac:dyDescent="0.25">
      <c r="B37" s="218">
        <f>cal!B38</f>
        <v>0.8</v>
      </c>
      <c r="C37" s="219">
        <f>cal!C38</f>
        <v>8</v>
      </c>
      <c r="D37" s="220">
        <f>IF($E$8&lt;=$E$9,"",cal!D38)</f>
        <v>4551.0629189317287</v>
      </c>
      <c r="E37" s="221">
        <f>IF($E$8&lt;=$E$9,"",cal!E38)</f>
        <v>391</v>
      </c>
      <c r="F37" s="222">
        <f>IF($E$8&lt;=$E$9,"",cal!F38)</f>
        <v>7.1391013771608307</v>
      </c>
      <c r="G37" s="223">
        <f>IF($K$8&gt;=$K$9,"",cal!G38)</f>
        <v>808.11740923128957</v>
      </c>
      <c r="H37" s="223">
        <f>IF($K$8&gt;=$K$9,"",cal!H38)</f>
        <v>937.72957500337418</v>
      </c>
      <c r="I37" s="221">
        <f>IF($K$8&gt;=$K$9,"",cal!I38)</f>
        <v>134</v>
      </c>
      <c r="J37" s="224">
        <f>IF($K$8&gt;=$K$9,"",cal!J38)</f>
        <v>1.0066381571087277</v>
      </c>
      <c r="K37" s="225">
        <f>cal!K38</f>
        <v>43</v>
      </c>
      <c r="L37" s="226">
        <f>cal!L38</f>
        <v>51</v>
      </c>
      <c r="M37" s="227">
        <f>cal!M38</f>
        <v>18.5</v>
      </c>
      <c r="N37" s="228">
        <f>cal!N38</f>
        <v>466</v>
      </c>
      <c r="O37" s="232">
        <f>IF($E$8&lt;=$E$9,"",cal!O38)</f>
        <v>53.929906096213401</v>
      </c>
      <c r="P37" s="229">
        <f>IF($K$8&gt;=$K$9,"",cal!P38)</f>
        <v>19.84573694878792</v>
      </c>
    </row>
    <row r="38" spans="2:16" ht="15" x14ac:dyDescent="0.25">
      <c r="B38" s="233">
        <f>cal!B39</f>
        <v>1</v>
      </c>
      <c r="C38" s="234">
        <f>cal!C39</f>
        <v>10</v>
      </c>
      <c r="D38" s="235">
        <f>IF($E$8&lt;=$E$9,"",cal!D39)</f>
        <v>5443.7355631295341</v>
      </c>
      <c r="E38" s="236">
        <f>IF($E$8&lt;=$E$9,"",cal!E39)</f>
        <v>468</v>
      </c>
      <c r="F38" s="237">
        <f>IF($E$8&lt;=$E$9,"",cal!F39)</f>
        <v>9.9187672702891003</v>
      </c>
      <c r="G38" s="238">
        <f>IF($K$8&gt;=$K$9,"",cal!G39)</f>
        <v>964.64538116255824</v>
      </c>
      <c r="H38" s="238">
        <f>IF($K$8&gt;=$K$9,"",cal!H39)</f>
        <v>1101.5610144486232</v>
      </c>
      <c r="I38" s="236">
        <f>IF($K$8&gt;=$K$9,"",cal!I39)</f>
        <v>158</v>
      </c>
      <c r="J38" s="239">
        <f>IF($K$8&gt;=$K$9,"",cal!J39)</f>
        <v>1.3607117905256103</v>
      </c>
      <c r="K38" s="240">
        <f>cal!K39</f>
        <v>47</v>
      </c>
      <c r="L38" s="241">
        <f>cal!L39</f>
        <v>55</v>
      </c>
      <c r="M38" s="227">
        <f>cal!M39</f>
        <v>28.8</v>
      </c>
      <c r="N38" s="242">
        <f>cal!N39</f>
        <v>510</v>
      </c>
      <c r="O38" s="243">
        <f>IF($E$8&lt;=$E$9,"",cal!O39)</f>
        <v>62.070284618780079</v>
      </c>
      <c r="P38" s="244">
        <f>IF($K$8&gt;=$K$9,"",cal!P39)</f>
        <v>19.3781979930313</v>
      </c>
    </row>
    <row r="39" spans="2:16" ht="9.4" customHeight="1" x14ac:dyDescent="0.25">
      <c r="B39" s="245" t="str">
        <f>cal!B40</f>
        <v>*Geluidsvermogen gemeten volgens ISO 3741:2010</v>
      </c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246"/>
      <c r="P39" s="247" t="s">
        <v>234</v>
      </c>
    </row>
    <row r="40" spans="2:16" ht="9.4" customHeight="1" x14ac:dyDescent="0.25">
      <c r="B40" s="245" t="str">
        <f>cal!B41</f>
        <v>**Geluidsdruk bij een aangenomen ruimtedemping van 8 dB(A)</v>
      </c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247"/>
      <c r="P40" s="247"/>
    </row>
    <row r="41" spans="2:16" ht="9" hidden="1" customHeight="1" x14ac:dyDescent="0.25"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</row>
    <row r="42" spans="2:16" s="186" customFormat="1" ht="16.149999999999999" hidden="1" customHeight="1" x14ac:dyDescent="0.25"/>
    <row r="43" spans="2:16" ht="15" hidden="1" x14ac:dyDescent="0.25">
      <c r="O43" s="186"/>
      <c r="P43" s="186"/>
    </row>
    <row r="44" spans="2:16" ht="15" hidden="1" x14ac:dyDescent="0.25"/>
    <row r="45" spans="2:16" ht="15" hidden="1" x14ac:dyDescent="0.25"/>
    <row r="46" spans="2:16" ht="15" hidden="1" x14ac:dyDescent="0.25"/>
    <row r="47" spans="2:16" ht="15" hidden="1" x14ac:dyDescent="0.25"/>
    <row r="48" spans="2:16" ht="15" hidden="1" x14ac:dyDescent="0.25"/>
    <row r="49" ht="15" hidden="1" x14ac:dyDescent="0.25"/>
    <row r="50" ht="0" hidden="1" customHeight="1" x14ac:dyDescent="0.25"/>
  </sheetData>
  <sheetProtection algorithmName="SHA-512" hashValue="0CkQHyjz3/6ceniD2/v/T0ju3arHn4Kz8o+ZdxrWIRbPhI454t9t6MgF+rqXUWz5RsU2P8iQWR8Qrtqu0hwBKg==" saltValue="12PnXypIHj4ZtZyDYa37SQ==" spinCount="100000" sheet="1" selectLockedCells="1"/>
  <dataConsolidate/>
  <mergeCells count="24">
    <mergeCell ref="B33:P33"/>
    <mergeCell ref="B27:P27"/>
    <mergeCell ref="B21:P21"/>
    <mergeCell ref="B15:P15"/>
    <mergeCell ref="G11:J11"/>
    <mergeCell ref="B10:D10"/>
    <mergeCell ref="G10:J10"/>
    <mergeCell ref="M9:N12"/>
    <mergeCell ref="M6:N6"/>
    <mergeCell ref="G2:J2"/>
    <mergeCell ref="G4:J4"/>
    <mergeCell ref="B8:D8"/>
    <mergeCell ref="G8:J8"/>
    <mergeCell ref="B9:D9"/>
    <mergeCell ref="G9:J9"/>
    <mergeCell ref="M8:N8"/>
    <mergeCell ref="B3:C3"/>
    <mergeCell ref="B2:C2"/>
    <mergeCell ref="O1:P2"/>
    <mergeCell ref="O3:P3"/>
    <mergeCell ref="O4:P4"/>
    <mergeCell ref="M7:N7"/>
    <mergeCell ref="K2:L2"/>
    <mergeCell ref="K4:M4"/>
  </mergeCells>
  <dataValidations count="5">
    <dataValidation allowBlank="1" showInputMessage="1" sqref="E8:E10"/>
    <dataValidation type="decimal" errorStyle="information" allowBlank="1" prompt="20°C bis 35°C" sqref="K11">
      <formula1>0.3</formula1>
      <formula2>0.8</formula2>
    </dataValidation>
    <dataValidation type="whole" errorStyle="information" allowBlank="1" prompt="Eingabe zwischen 5°C bis 20°C" sqref="K8">
      <formula1>5</formula1>
      <formula2>20</formula2>
    </dataValidation>
    <dataValidation type="whole" errorStyle="information" allowBlank="1" error="Eingabe außerhalb des gültigen Bereichs." prompt="Eingabe zwischen Vorlauftemp. und Raumtemp." sqref="K9">
      <formula1>K8</formula1>
      <formula2>K10</formula2>
    </dataValidation>
    <dataValidation type="whole" errorStyle="information" allowBlank="1" error="Eingabe außerhalb des gültigen Bereichs." prompt="20°C bis 35°C" sqref="K10">
      <formula1>20</formula1>
      <formula2>35</formula2>
    </dataValidation>
  </dataValidations>
  <pageMargins left="0.25" right="0.25" top="0.75" bottom="0.75" header="0.3" footer="0.3"/>
  <pageSetup paperSize="9" scale="98" orientation="portrait" r:id="rId1"/>
  <headerFooter>
    <oddHeader xml:space="preserve">&amp;L
&amp;R
</oddHeader>
  </headerFooter>
  <ignoredErrors>
    <ignoredError sqref="B18:C20 B22:C26 B28:C32 B34:C38 B16:C16 K16:N16 B17:C17 K17:N17 K18:N20" unlockedFormula="1"/>
  </ignoredErrors>
  <drawing r:id="rId2"/>
  <legacyDrawing r:id="rId3"/>
  <controls>
    <mc:AlternateContent xmlns:mc="http://schemas.openxmlformats.org/markup-compatibility/2006">
      <mc:Choice Requires="x14">
        <control shapeId="2051" r:id="rId4" name="rbtnSI">
          <controlPr defaultSize="0" autoFill="0" autoLine="0" r:id="rId5">
            <anchor moveWithCells="1">
              <from>
                <xdr:col>12</xdr:col>
                <xdr:colOff>38100</xdr:colOff>
                <xdr:row>8</xdr:row>
                <xdr:rowOff>38100</xdr:rowOff>
              </from>
              <to>
                <xdr:col>13</xdr:col>
                <xdr:colOff>276225</xdr:colOff>
                <xdr:row>9</xdr:row>
                <xdr:rowOff>152400</xdr:rowOff>
              </to>
            </anchor>
          </controlPr>
        </control>
      </mc:Choice>
      <mc:Fallback>
        <control shapeId="2051" r:id="rId4" name="rbtnSI"/>
      </mc:Fallback>
    </mc:AlternateContent>
    <mc:AlternateContent xmlns:mc="http://schemas.openxmlformats.org/markup-compatibility/2006">
      <mc:Choice Requires="x14">
        <control shapeId="2052" r:id="rId6" name="rbtnImperial">
          <controlPr defaultSize="0" autoFill="0" autoLine="0" r:id="rId7">
            <anchor moveWithCells="1">
              <from>
                <xdr:col>12</xdr:col>
                <xdr:colOff>38100</xdr:colOff>
                <xdr:row>9</xdr:row>
                <xdr:rowOff>114300</xdr:rowOff>
              </from>
              <to>
                <xdr:col>13</xdr:col>
                <xdr:colOff>447675</xdr:colOff>
                <xdr:row>11</xdr:row>
                <xdr:rowOff>47625</xdr:rowOff>
              </to>
            </anchor>
          </controlPr>
        </control>
      </mc:Choice>
      <mc:Fallback>
        <control shapeId="2052" r:id="rId6" name="rbtnImperial"/>
      </mc:Fallback>
    </mc:AlternateContent>
    <mc:AlternateContent xmlns:mc="http://schemas.openxmlformats.org/markup-compatibility/2006">
      <mc:Choice Requires="x14">
        <control shapeId="2055" r:id="rId8" name="btnCopy">
          <controlPr defaultSize="0" autoLine="0" autoPict="0" r:id="rId9">
            <anchor moveWithCells="1">
              <from>
                <xdr:col>3</xdr:col>
                <xdr:colOff>152400</xdr:colOff>
                <xdr:row>0</xdr:row>
                <xdr:rowOff>171450</xdr:rowOff>
              </from>
              <to>
                <xdr:col>5</xdr:col>
                <xdr:colOff>371475</xdr:colOff>
                <xdr:row>3</xdr:row>
                <xdr:rowOff>133350</xdr:rowOff>
              </to>
            </anchor>
          </controlPr>
        </control>
      </mc:Choice>
      <mc:Fallback>
        <control shapeId="2055" r:id="rId8" name="btnCopy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cal!$X$2:$X$9</xm:f>
          </x14:formula1>
          <xm:sqref>K4:M4</xm:sqref>
        </x14:dataValidation>
        <x14:dataValidation type="list" allowBlank="1" showInputMessage="1" showErrorMessage="1">
          <x14:formula1>
            <xm:f>cal!$E$1:$L$1</xm:f>
          </x14:formula1>
          <xm:sqref>K2:L2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0"/>
  <dimension ref="B1:T49"/>
  <sheetViews>
    <sheetView zoomScaleNormal="100" workbookViewId="0">
      <selection activeCell="K2" sqref="K2:L2"/>
    </sheetView>
  </sheetViews>
  <sheetFormatPr defaultColWidth="5.7109375" defaultRowHeight="15" zeroHeight="1" x14ac:dyDescent="0.25"/>
  <cols>
    <col min="1" max="1" width="5.7109375" style="1"/>
    <col min="2" max="2" width="7" style="1" customWidth="1"/>
    <col min="3" max="3" width="6.140625" style="1" customWidth="1"/>
    <col min="4" max="4" width="7" style="1" customWidth="1"/>
    <col min="5" max="5" width="6.7109375" style="1" customWidth="1"/>
    <col min="6" max="16" width="7" style="1" customWidth="1"/>
    <col min="17" max="16384" width="5.7109375" style="1"/>
  </cols>
  <sheetData>
    <row r="1" spans="2:20" x14ac:dyDescent="0.25"/>
    <row r="2" spans="2:20" s="3" customFormat="1" x14ac:dyDescent="0.25">
      <c r="B2" s="22"/>
    </row>
    <row r="3" spans="2:20" s="3" customFormat="1" x14ac:dyDescent="0.25">
      <c r="B3" s="24" t="s">
        <v>11</v>
      </c>
      <c r="C3" s="23"/>
    </row>
    <row r="4" spans="2:20" s="3" customFormat="1" x14ac:dyDescent="0.25">
      <c r="B4" s="22"/>
      <c r="H4" s="326" t="s">
        <v>172</v>
      </c>
      <c r="I4" s="327">
        <v>0</v>
      </c>
      <c r="J4" s="327">
        <v>0</v>
      </c>
      <c r="K4" s="328">
        <v>0</v>
      </c>
    </row>
    <row r="5" spans="2:20" s="3" customFormat="1" x14ac:dyDescent="0.25">
      <c r="B5" s="29" t="s">
        <v>10</v>
      </c>
      <c r="H5" s="326" t="s">
        <v>171</v>
      </c>
      <c r="I5" s="327">
        <v>0</v>
      </c>
      <c r="J5" s="327">
        <v>0</v>
      </c>
      <c r="K5" s="328">
        <v>0</v>
      </c>
    </row>
    <row r="6" spans="2:20" s="3" customFormat="1" ht="6" customHeigh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1"/>
      <c r="P6" s="12"/>
    </row>
    <row r="7" spans="2:20" x14ac:dyDescent="0.25">
      <c r="B7" s="176" t="s">
        <v>169</v>
      </c>
      <c r="C7" s="192"/>
      <c r="D7" s="192"/>
      <c r="E7" s="8"/>
      <c r="F7" s="8"/>
      <c r="G7" s="8"/>
      <c r="H7" s="8"/>
      <c r="I7" s="8"/>
      <c r="J7" s="8"/>
      <c r="K7" s="8"/>
      <c r="L7" s="8"/>
      <c r="M7" s="8"/>
      <c r="N7" s="14"/>
      <c r="O7" s="8"/>
      <c r="P7" s="14"/>
      <c r="Q7" s="1" t="s">
        <v>176</v>
      </c>
    </row>
    <row r="8" spans="2:20" x14ac:dyDescent="0.25">
      <c r="B8" s="176" t="s">
        <v>170</v>
      </c>
      <c r="C8" s="192"/>
      <c r="D8" s="192"/>
      <c r="E8" s="8"/>
      <c r="F8" s="8"/>
      <c r="G8" s="9" t="s">
        <v>173</v>
      </c>
      <c r="H8" s="9"/>
      <c r="I8" s="9"/>
      <c r="J8" s="8"/>
      <c r="K8" s="8"/>
      <c r="L8" s="8"/>
      <c r="M8" s="30"/>
      <c r="N8" s="14"/>
      <c r="O8" s="30"/>
      <c r="P8" s="14"/>
      <c r="Q8" s="1" t="s">
        <v>177</v>
      </c>
    </row>
    <row r="9" spans="2:20" ht="15.75" thickBot="1" x14ac:dyDescent="0.3">
      <c r="B9" s="322" t="str">
        <f>"Voda na přívodu"</f>
        <v>Voda na přívodu</v>
      </c>
      <c r="C9" s="323"/>
      <c r="D9" s="324"/>
      <c r="E9" s="98">
        <f>cal!E9</f>
        <v>75</v>
      </c>
      <c r="F9" s="262"/>
      <c r="G9" s="325" t="str">
        <f>B9</f>
        <v>Voda na přívodu</v>
      </c>
      <c r="H9" s="325"/>
      <c r="I9" s="325"/>
      <c r="J9" s="325"/>
      <c r="K9" s="98">
        <f>cal!K9</f>
        <v>8</v>
      </c>
      <c r="L9" s="8"/>
      <c r="M9" s="311" t="s">
        <v>175</v>
      </c>
      <c r="N9" s="312"/>
      <c r="O9" s="8"/>
      <c r="P9" s="14"/>
      <c r="Q9" s="1" t="s">
        <v>178</v>
      </c>
    </row>
    <row r="10" spans="2:20" ht="15.75" thickTop="1" x14ac:dyDescent="0.25">
      <c r="B10" s="322" t="str">
        <f>"Voda na zpátečce"</f>
        <v>Voda na zpátečce</v>
      </c>
      <c r="C10" s="323"/>
      <c r="D10" s="324"/>
      <c r="E10" s="98">
        <f>cal!E10</f>
        <v>65</v>
      </c>
      <c r="F10" s="262"/>
      <c r="G10" s="325" t="str">
        <f>B10</f>
        <v>Voda na zpátečce</v>
      </c>
      <c r="H10" s="325"/>
      <c r="I10" s="325"/>
      <c r="J10" s="325"/>
      <c r="K10" s="98">
        <f>cal!K10</f>
        <v>14</v>
      </c>
      <c r="L10" s="8"/>
      <c r="M10" s="8"/>
      <c r="N10" s="14"/>
      <c r="O10" s="8"/>
      <c r="P10" s="14"/>
    </row>
    <row r="11" spans="2:20" x14ac:dyDescent="0.25">
      <c r="B11" s="322" t="s">
        <v>231</v>
      </c>
      <c r="C11" s="323"/>
      <c r="D11" s="324"/>
      <c r="E11" s="98">
        <f>cal!E11</f>
        <v>20</v>
      </c>
      <c r="F11" s="262"/>
      <c r="G11" s="325" t="str">
        <f>B11</f>
        <v>"Suchá" teplota vzduchu</v>
      </c>
      <c r="H11" s="325"/>
      <c r="I11" s="325"/>
      <c r="J11" s="325"/>
      <c r="K11" s="98">
        <f>cal!K11</f>
        <v>25</v>
      </c>
      <c r="L11" s="8"/>
      <c r="M11" s="8"/>
      <c r="N11" s="14"/>
      <c r="O11" s="8"/>
      <c r="P11" s="14"/>
    </row>
    <row r="12" spans="2:20" x14ac:dyDescent="0.25">
      <c r="B12" s="201"/>
      <c r="C12" s="192"/>
      <c r="D12" s="192"/>
      <c r="E12" s="8"/>
      <c r="F12" s="8"/>
      <c r="G12" s="192" t="s">
        <v>174</v>
      </c>
      <c r="H12" s="8"/>
      <c r="I12" s="8"/>
      <c r="J12" s="8"/>
      <c r="K12" s="65">
        <f>cal!K12</f>
        <v>0.5</v>
      </c>
      <c r="L12" s="8"/>
      <c r="M12" s="8"/>
      <c r="N12" s="14"/>
      <c r="O12" s="8"/>
      <c r="P12" s="14"/>
    </row>
    <row r="13" spans="2:20" ht="6" customHeight="1" x14ac:dyDescent="0.25">
      <c r="B13" s="16"/>
      <c r="C13" s="17"/>
      <c r="D13" s="17"/>
      <c r="E13" s="17"/>
      <c r="F13" s="18"/>
      <c r="G13" s="18"/>
      <c r="H13" s="18"/>
      <c r="I13" s="18"/>
      <c r="J13" s="18"/>
      <c r="K13" s="18"/>
      <c r="L13" s="18"/>
      <c r="M13" s="18"/>
      <c r="N13" s="19"/>
      <c r="O13" s="18"/>
      <c r="P13" s="19"/>
    </row>
    <row r="14" spans="2:20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</row>
    <row r="15" spans="2:20" s="2" customFormat="1" ht="95.45" customHeight="1" x14ac:dyDescent="0.25">
      <c r="B15" s="27" t="s">
        <v>193</v>
      </c>
      <c r="C15" s="20" t="s">
        <v>179</v>
      </c>
      <c r="D15" s="27" t="str">
        <f>CONCATENATE("Výkon Topení  ",ROUND(E9,0),"/",ROUND(E10,0),"/",ROUND(E11,0)," ["&amp;IF(UnitsNo=1,"W",IF(UnitsNo=2,"Btu/h"))&amp;"]")</f>
        <v>Výkon Topení  75/65/20 [W]</v>
      </c>
      <c r="E15" s="31" t="str">
        <f>"Průtok vody, topení ["&amp;IF(UnitsNo=1,"l/h",IF(UnitsNo=2,"GPM"))&amp;"]"</f>
        <v>Průtok vody, topení [l/h]</v>
      </c>
      <c r="F15" s="34" t="str">
        <f>"Tlaková ztráta ["&amp;IF(UnitsNo=1,"kPa",IF(UnitsNo=2,"inH2O"))&amp;"]"</f>
        <v>Tlaková ztráta [kPa]</v>
      </c>
      <c r="G15" s="20" t="str">
        <f>CONCATENATE("Výkon chlazení Znatelný  ",ROUND(K9,0),"/",,ROUND(K10,0),"/",,ROUND(K11,0)," ["&amp;IF(UnitsNo=1,"W",IF(UnitsNo=2,"Btu/h"))&amp;"]")</f>
        <v>Výkon chlazení Znatelný  8/14/25 [W]</v>
      </c>
      <c r="H15" s="20" t="str">
        <f>CONCATENATE("Výkon chlazení Celkový ",,ROUND(K9,0),"/",,ROUND(K10,0),"/",,ROUND(K11,0)," ["&amp;IF(UnitsNo=1,"W",IF(UnitsNo=2,"Btu/h"))&amp;"]")</f>
        <v>Výkon chlazení Celkový 8/14/25 [W]</v>
      </c>
      <c r="I15" s="20" t="str">
        <f>"Průtok vody, chlazení ["&amp;IF(UnitsNo=1,"l/h",IF(UnitsNo=2,"GPM"))&amp;"]"</f>
        <v>Průtok vody, chlazení [l/h]</v>
      </c>
      <c r="J15" s="21" t="str">
        <f>F15</f>
        <v>Tlaková ztráta [kPa]</v>
      </c>
      <c r="K15" s="27" t="s">
        <v>194</v>
      </c>
      <c r="L15" s="33" t="s">
        <v>195</v>
      </c>
      <c r="M15" s="20" t="s">
        <v>196</v>
      </c>
      <c r="N15" s="26" t="str">
        <f>"Průtok vzduchu ["&amp;IF(UnitsNo=1,"m³/h",IF(UnitsNo=2,"CFM"))&amp;"]"</f>
        <v>Průtok vzduchu [m³/h]</v>
      </c>
      <c r="O15" s="20" t="str">
        <f>"Výfuková teplota vzduchu top. ["&amp;IF(UnitsNo=1,"°C",IF(UnitsNo=2,"°F"))&amp;"]"</f>
        <v>Výfuková teplota vzduchu top. [°C]</v>
      </c>
      <c r="P15" s="20" t="str">
        <f>"Výfuková teplota vzduchu chlaz.  ["&amp;IF(UnitsNo=1,"°C",IF(UnitsNo=2,"°F"))&amp;"]"</f>
        <v>Výfuková teplota vzduchu chlaz.  [°C]</v>
      </c>
    </row>
    <row r="16" spans="2:20" ht="18" customHeight="1" x14ac:dyDescent="0.25">
      <c r="B16" s="319" t="str">
        <f>cal!$X$1&amp;" "&amp;$T$16&amp;", "&amp;ROUND(cal!X22,1)&amp;IF(UnitsNo=1," cm",IF(UnitsNo=2," in"))&amp; ", "&amp;$T$17&amp;" "&amp;ROUND(cal!Z22,1)&amp;IF(UnitsNo=1," cm",IF(UnitsNo=2," in"))&amp;", "&amp;$T$18&amp;" "&amp;ROUND(cal!AB22,1)&amp;IF(UnitsNo=1," cm",IF(UnitsNo=2," in"))&amp;" (Typ 1)"</f>
        <v>Briza 12 Výška, 41 cm, Šířka 14 cm, Délka 75 cm (Typ 1)</v>
      </c>
      <c r="C16" s="320"/>
      <c r="D16" s="319"/>
      <c r="E16" s="321"/>
      <c r="F16" s="320"/>
      <c r="G16" s="320"/>
      <c r="H16" s="320"/>
      <c r="I16" s="320"/>
      <c r="J16" s="320"/>
      <c r="K16" s="319"/>
      <c r="L16" s="320"/>
      <c r="M16" s="320"/>
      <c r="N16" s="321"/>
      <c r="R16" s="1" t="s">
        <v>169</v>
      </c>
      <c r="T16" s="197" t="s">
        <v>230</v>
      </c>
    </row>
    <row r="17" spans="2:20" x14ac:dyDescent="0.25">
      <c r="B17" s="35"/>
      <c r="C17" s="4"/>
      <c r="D17" s="28"/>
      <c r="E17" s="5"/>
      <c r="F17" s="32"/>
      <c r="G17" s="5"/>
      <c r="H17" s="5"/>
      <c r="I17" s="5"/>
      <c r="J17" s="6"/>
      <c r="K17" s="28"/>
      <c r="L17" s="44"/>
      <c r="M17" s="48"/>
      <c r="N17" s="36"/>
      <c r="O17" s="48"/>
      <c r="P17" s="36"/>
      <c r="R17" s="1" t="s">
        <v>197</v>
      </c>
      <c r="T17" s="197" t="s">
        <v>232</v>
      </c>
    </row>
    <row r="18" spans="2:20" x14ac:dyDescent="0.25">
      <c r="B18" s="35"/>
      <c r="C18" s="4"/>
      <c r="D18" s="28"/>
      <c r="E18" s="5"/>
      <c r="F18" s="32"/>
      <c r="G18" s="5"/>
      <c r="H18" s="5"/>
      <c r="I18" s="5"/>
      <c r="J18" s="6"/>
      <c r="K18" s="28"/>
      <c r="L18" s="44"/>
      <c r="M18" s="48"/>
      <c r="N18" s="36"/>
      <c r="O18" s="48"/>
      <c r="P18" s="36"/>
      <c r="R18" s="1" t="s">
        <v>198</v>
      </c>
      <c r="T18" s="197" t="s">
        <v>233</v>
      </c>
    </row>
    <row r="19" spans="2:20" x14ac:dyDescent="0.25">
      <c r="B19" s="35"/>
      <c r="C19" s="4"/>
      <c r="D19" s="28"/>
      <c r="E19" s="5"/>
      <c r="F19" s="32"/>
      <c r="G19" s="5"/>
      <c r="H19" s="5"/>
      <c r="I19" s="5"/>
      <c r="J19" s="6"/>
      <c r="K19" s="28"/>
      <c r="L19" s="44"/>
      <c r="M19" s="48"/>
      <c r="N19" s="36"/>
      <c r="O19" s="48"/>
      <c r="P19" s="36"/>
    </row>
    <row r="20" spans="2:20" x14ac:dyDescent="0.25">
      <c r="B20" s="35"/>
      <c r="C20" s="4"/>
      <c r="D20" s="28"/>
      <c r="E20" s="5"/>
      <c r="F20" s="32"/>
      <c r="G20" s="5"/>
      <c r="H20" s="5"/>
      <c r="I20" s="5"/>
      <c r="J20" s="6"/>
      <c r="K20" s="28"/>
      <c r="L20" s="44"/>
      <c r="M20" s="48"/>
      <c r="N20" s="36"/>
      <c r="O20" s="48"/>
      <c r="P20" s="36"/>
    </row>
    <row r="21" spans="2:20" x14ac:dyDescent="0.25">
      <c r="B21" s="35"/>
      <c r="C21" s="4"/>
      <c r="D21" s="28"/>
      <c r="E21" s="5"/>
      <c r="F21" s="32"/>
      <c r="G21" s="5"/>
      <c r="H21" s="5"/>
      <c r="I21" s="5"/>
      <c r="J21" s="6"/>
      <c r="K21" s="28"/>
      <c r="L21" s="44"/>
      <c r="M21" s="48"/>
      <c r="N21" s="36"/>
      <c r="O21" s="48"/>
      <c r="P21" s="36"/>
    </row>
    <row r="22" spans="2:20" ht="16.899999999999999" customHeight="1" x14ac:dyDescent="0.25">
      <c r="B22" s="319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 2)"</f>
        <v>Briza 12 Výška 41 cm Šířka 14 cm Délka 95 cm (Typ 2)</v>
      </c>
      <c r="C22" s="320"/>
      <c r="D22" s="319"/>
      <c r="E22" s="321"/>
      <c r="F22" s="320"/>
      <c r="G22" s="320"/>
      <c r="H22" s="320"/>
      <c r="I22" s="320"/>
      <c r="J22" s="320"/>
      <c r="K22" s="319"/>
      <c r="L22" s="320"/>
      <c r="M22" s="320"/>
      <c r="N22" s="321"/>
    </row>
    <row r="23" spans="2:20" x14ac:dyDescent="0.25">
      <c r="B23" s="35"/>
      <c r="C23" s="4"/>
      <c r="D23" s="28"/>
      <c r="E23" s="5"/>
      <c r="F23" s="32"/>
      <c r="G23" s="5"/>
      <c r="H23" s="5"/>
      <c r="I23" s="5"/>
      <c r="J23" s="6"/>
      <c r="K23" s="28"/>
      <c r="L23" s="44"/>
      <c r="M23" s="48"/>
      <c r="N23" s="36"/>
      <c r="O23" s="48"/>
      <c r="P23" s="36"/>
    </row>
    <row r="24" spans="2:20" x14ac:dyDescent="0.25">
      <c r="B24" s="35"/>
      <c r="C24" s="4"/>
      <c r="D24" s="28"/>
      <c r="E24" s="5"/>
      <c r="F24" s="32"/>
      <c r="G24" s="5"/>
      <c r="H24" s="5"/>
      <c r="I24" s="5"/>
      <c r="J24" s="6"/>
      <c r="K24" s="28"/>
      <c r="L24" s="44"/>
      <c r="M24" s="48"/>
      <c r="N24" s="36"/>
      <c r="O24" s="48"/>
      <c r="P24" s="36"/>
    </row>
    <row r="25" spans="2:20" x14ac:dyDescent="0.25">
      <c r="B25" s="35"/>
      <c r="C25" s="4"/>
      <c r="D25" s="28"/>
      <c r="E25" s="5"/>
      <c r="F25" s="32"/>
      <c r="G25" s="5"/>
      <c r="H25" s="5"/>
      <c r="I25" s="5"/>
      <c r="J25" s="6"/>
      <c r="K25" s="28"/>
      <c r="L25" s="44"/>
      <c r="M25" s="48"/>
      <c r="N25" s="36"/>
      <c r="O25" s="48"/>
      <c r="P25" s="36"/>
    </row>
    <row r="26" spans="2:20" x14ac:dyDescent="0.25">
      <c r="B26" s="35"/>
      <c r="C26" s="4"/>
      <c r="D26" s="28"/>
      <c r="E26" s="5"/>
      <c r="F26" s="32"/>
      <c r="G26" s="5"/>
      <c r="H26" s="5"/>
      <c r="I26" s="5"/>
      <c r="J26" s="6"/>
      <c r="K26" s="28"/>
      <c r="L26" s="44"/>
      <c r="M26" s="48"/>
      <c r="N26" s="36"/>
      <c r="O26" s="48"/>
      <c r="P26" s="36"/>
    </row>
    <row r="27" spans="2:20" x14ac:dyDescent="0.25">
      <c r="B27" s="35"/>
      <c r="C27" s="4"/>
      <c r="D27" s="28"/>
      <c r="E27" s="5"/>
      <c r="F27" s="32"/>
      <c r="G27" s="5"/>
      <c r="H27" s="5"/>
      <c r="I27" s="5"/>
      <c r="J27" s="6"/>
      <c r="K27" s="28"/>
      <c r="L27" s="44"/>
      <c r="M27" s="48"/>
      <c r="N27" s="36"/>
      <c r="O27" s="48"/>
      <c r="P27" s="36"/>
    </row>
    <row r="28" spans="2:20" ht="18" customHeight="1" x14ac:dyDescent="0.25">
      <c r="B28" s="319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 3)"</f>
        <v>Briza 12 Výška 41 cm Šířka 14 cm Délka 125 cm (Typ 3)</v>
      </c>
      <c r="C28" s="320"/>
      <c r="D28" s="319"/>
      <c r="E28" s="321"/>
      <c r="F28" s="320"/>
      <c r="G28" s="320"/>
      <c r="H28" s="320"/>
      <c r="I28" s="320"/>
      <c r="J28" s="320"/>
      <c r="K28" s="319"/>
      <c r="L28" s="320"/>
      <c r="M28" s="320"/>
      <c r="N28" s="321"/>
    </row>
    <row r="29" spans="2:20" x14ac:dyDescent="0.25">
      <c r="B29" s="35"/>
      <c r="C29" s="4"/>
      <c r="D29" s="28"/>
      <c r="E29" s="5"/>
      <c r="F29" s="32"/>
      <c r="G29" s="5"/>
      <c r="H29" s="5"/>
      <c r="I29" s="5"/>
      <c r="J29" s="6"/>
      <c r="K29" s="28"/>
      <c r="L29" s="44"/>
      <c r="M29" s="48"/>
      <c r="N29" s="36"/>
      <c r="O29" s="48"/>
      <c r="P29" s="36"/>
    </row>
    <row r="30" spans="2:20" x14ac:dyDescent="0.25">
      <c r="B30" s="35"/>
      <c r="C30" s="4"/>
      <c r="D30" s="28"/>
      <c r="E30" s="5"/>
      <c r="F30" s="32"/>
      <c r="G30" s="5"/>
      <c r="H30" s="5"/>
      <c r="I30" s="5"/>
      <c r="J30" s="6"/>
      <c r="K30" s="28"/>
      <c r="L30" s="44"/>
      <c r="M30" s="48"/>
      <c r="N30" s="36"/>
      <c r="O30" s="48"/>
      <c r="P30" s="36"/>
    </row>
    <row r="31" spans="2:20" x14ac:dyDescent="0.25">
      <c r="B31" s="35"/>
      <c r="C31" s="4"/>
      <c r="D31" s="28"/>
      <c r="E31" s="5"/>
      <c r="F31" s="32"/>
      <c r="G31" s="5"/>
      <c r="H31" s="5"/>
      <c r="I31" s="5"/>
      <c r="J31" s="6"/>
      <c r="K31" s="28"/>
      <c r="L31" s="44"/>
      <c r="M31" s="48"/>
      <c r="N31" s="36"/>
      <c r="O31" s="48"/>
      <c r="P31" s="36"/>
    </row>
    <row r="32" spans="2:20" x14ac:dyDescent="0.25">
      <c r="B32" s="35"/>
      <c r="C32" s="4"/>
      <c r="D32" s="28"/>
      <c r="E32" s="5"/>
      <c r="F32" s="32"/>
      <c r="G32" s="5"/>
      <c r="H32" s="5"/>
      <c r="I32" s="5"/>
      <c r="J32" s="6"/>
      <c r="K32" s="28"/>
      <c r="L32" s="44"/>
      <c r="M32" s="48"/>
      <c r="N32" s="36"/>
      <c r="O32" s="48"/>
      <c r="P32" s="36"/>
    </row>
    <row r="33" spans="2:16" x14ac:dyDescent="0.25">
      <c r="B33" s="35"/>
      <c r="C33" s="4"/>
      <c r="D33" s="28"/>
      <c r="E33" s="5"/>
      <c r="F33" s="32"/>
      <c r="G33" s="5"/>
      <c r="H33" s="5"/>
      <c r="I33" s="5"/>
      <c r="J33" s="6"/>
      <c r="K33" s="28"/>
      <c r="L33" s="44"/>
      <c r="M33" s="48"/>
      <c r="N33" s="36"/>
      <c r="O33" s="48"/>
      <c r="P33" s="36"/>
    </row>
    <row r="34" spans="2:16" ht="16.899999999999999" customHeight="1" x14ac:dyDescent="0.25">
      <c r="B34" s="319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 4)"</f>
        <v>Briza 12 Výška 41 cm Šířka 14 cm Délka 145 cm (Typ 4)</v>
      </c>
      <c r="C34" s="320"/>
      <c r="D34" s="319"/>
      <c r="E34" s="321"/>
      <c r="F34" s="320"/>
      <c r="G34" s="320"/>
      <c r="H34" s="320"/>
      <c r="I34" s="320"/>
      <c r="J34" s="320"/>
      <c r="K34" s="319"/>
      <c r="L34" s="320"/>
      <c r="M34" s="320"/>
      <c r="N34" s="321"/>
    </row>
    <row r="35" spans="2:16" x14ac:dyDescent="0.25">
      <c r="B35" s="35"/>
      <c r="C35" s="4"/>
      <c r="D35" s="28"/>
      <c r="E35" s="5"/>
      <c r="F35" s="32"/>
      <c r="G35" s="5"/>
      <c r="H35" s="5"/>
      <c r="I35" s="5"/>
      <c r="J35" s="6"/>
      <c r="K35" s="28"/>
      <c r="L35" s="44"/>
      <c r="M35" s="48"/>
      <c r="N35" s="36"/>
      <c r="O35" s="48"/>
      <c r="P35" s="36"/>
    </row>
    <row r="36" spans="2:16" x14ac:dyDescent="0.25">
      <c r="B36" s="35"/>
      <c r="C36" s="4"/>
      <c r="D36" s="28"/>
      <c r="E36" s="5"/>
      <c r="F36" s="32"/>
      <c r="G36" s="5"/>
      <c r="H36" s="5"/>
      <c r="I36" s="5"/>
      <c r="J36" s="6"/>
      <c r="K36" s="28"/>
      <c r="L36" s="44"/>
      <c r="M36" s="48"/>
      <c r="N36" s="36"/>
      <c r="O36" s="48"/>
      <c r="P36" s="36"/>
    </row>
    <row r="37" spans="2:16" x14ac:dyDescent="0.25">
      <c r="B37" s="35"/>
      <c r="C37" s="4"/>
      <c r="D37" s="28"/>
      <c r="E37" s="5"/>
      <c r="F37" s="32"/>
      <c r="G37" s="5"/>
      <c r="H37" s="5"/>
      <c r="I37" s="5"/>
      <c r="J37" s="6"/>
      <c r="K37" s="28"/>
      <c r="L37" s="44"/>
      <c r="M37" s="48"/>
      <c r="N37" s="36"/>
      <c r="O37" s="48"/>
      <c r="P37" s="36"/>
    </row>
    <row r="38" spans="2:16" x14ac:dyDescent="0.25">
      <c r="B38" s="35"/>
      <c r="C38" s="4"/>
      <c r="D38" s="28"/>
      <c r="E38" s="5"/>
      <c r="F38" s="32"/>
      <c r="G38" s="5"/>
      <c r="H38" s="5"/>
      <c r="I38" s="5"/>
      <c r="J38" s="6"/>
      <c r="K38" s="28"/>
      <c r="L38" s="44"/>
      <c r="M38" s="48"/>
      <c r="N38" s="36"/>
      <c r="O38" s="48"/>
      <c r="P38" s="36"/>
    </row>
    <row r="39" spans="2:16" x14ac:dyDescent="0.25">
      <c r="B39" s="37"/>
      <c r="C39" s="38"/>
      <c r="D39" s="39"/>
      <c r="E39" s="40"/>
      <c r="F39" s="41"/>
      <c r="G39" s="40"/>
      <c r="H39" s="40"/>
      <c r="I39" s="40"/>
      <c r="J39" s="42"/>
      <c r="K39" s="39"/>
      <c r="L39" s="45"/>
      <c r="M39" s="48"/>
      <c r="N39" s="43"/>
      <c r="O39" s="48"/>
      <c r="P39" s="43"/>
    </row>
    <row r="40" spans="2:16" ht="9.4" customHeight="1" x14ac:dyDescent="0.25">
      <c r="B40" s="7" t="s">
        <v>160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49"/>
      <c r="N40" s="47" t="str">
        <f>cal!P40</f>
        <v>v2021-04-26</v>
      </c>
      <c r="O40" s="49"/>
      <c r="P40" s="47"/>
    </row>
    <row r="41" spans="2:16" ht="9.4" customHeight="1" x14ac:dyDescent="0.25">
      <c r="B41" s="7" t="s">
        <v>161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2:16" ht="9.4" customHeight="1" x14ac:dyDescent="0.25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2:16" s="3" customFormat="1" ht="16.149999999999999" hidden="1" customHeight="1" x14ac:dyDescent="0.25"/>
    <row r="44" spans="2:16" x14ac:dyDescent="0.25"/>
    <row r="45" spans="2:16" x14ac:dyDescent="0.25"/>
    <row r="46" spans="2:16" x14ac:dyDescent="0.25"/>
    <row r="47" spans="2:16" x14ac:dyDescent="0.25"/>
    <row r="48" spans="2:16" x14ac:dyDescent="0.25"/>
    <row r="49" x14ac:dyDescent="0.25"/>
  </sheetData>
  <sheetProtection selectLockedCells="1"/>
  <mergeCells count="13">
    <mergeCell ref="B34:N34"/>
    <mergeCell ref="H4:K4"/>
    <mergeCell ref="H5:K5"/>
    <mergeCell ref="B9:D9"/>
    <mergeCell ref="G9:J9"/>
    <mergeCell ref="M9:N9"/>
    <mergeCell ref="B10:D10"/>
    <mergeCell ref="G10:J10"/>
    <mergeCell ref="B11:D11"/>
    <mergeCell ref="G11:J11"/>
    <mergeCell ref="B16:N16"/>
    <mergeCell ref="B22:N22"/>
    <mergeCell ref="B28:N28"/>
  </mergeCells>
  <dataValidations disablePrompts="1" count="7">
    <dataValidation type="whole" errorStyle="information" allowBlank="1" showErrorMessage="1" error="Eingabe außerhalb des gültigen Bereichs." prompt="20°C bis 35°C" sqref="K11">
      <formula1>20</formula1>
      <formula2>35</formula2>
    </dataValidation>
    <dataValidation type="whole" errorStyle="information" allowBlank="1" showErrorMessage="1" error="Eingabe außerhalb des gültigen Bereichs." prompt="Eingabe zwischen 16°C bis 30°C" sqref="E11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E10">
      <formula1>E11</formula1>
      <formula2>E9</formula2>
    </dataValidation>
    <dataValidation type="whole" errorStyle="information" allowBlank="1" showErrorMessage="1" error="Temperatur außerhalb des gütligen Bereichs." prompt="Eingabe zwischen 30°C bis 95°C" sqref="E9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K10">
      <formula1>K9</formula1>
      <formula2>K11</formula2>
    </dataValidation>
    <dataValidation type="whole" errorStyle="information" allowBlank="1" showErrorMessage="1" error="Eingabe außerhalb des gültigen Bereichs." prompt="Eingabe zwischen 5°C bis 20°C" sqref="K9">
      <formula1>5</formula1>
      <formula2>20</formula2>
    </dataValidation>
    <dataValidation type="decimal" errorStyle="information" allowBlank="1" showErrorMessage="1" error="Eingabe außerhalb des gültigen Bereichs." prompt="20°C bis 35°C" sqref="K12">
      <formula1>0.01</formula1>
      <formula2>1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1"/>
  <dimension ref="B1:T49"/>
  <sheetViews>
    <sheetView workbookViewId="0">
      <selection activeCell="K2" sqref="K2:L2"/>
    </sheetView>
  </sheetViews>
  <sheetFormatPr defaultColWidth="5.7109375" defaultRowHeight="15" zeroHeight="1" x14ac:dyDescent="0.25"/>
  <cols>
    <col min="1" max="1" width="5.7109375" style="1"/>
    <col min="2" max="2" width="7" style="1" customWidth="1"/>
    <col min="3" max="3" width="6.140625" style="1" customWidth="1"/>
    <col min="4" max="4" width="7" style="1" customWidth="1"/>
    <col min="5" max="5" width="6.7109375" style="1" customWidth="1"/>
    <col min="6" max="16" width="7" style="1" customWidth="1"/>
    <col min="17" max="16384" width="5.7109375" style="1"/>
  </cols>
  <sheetData>
    <row r="1" spans="2:20" x14ac:dyDescent="0.25"/>
    <row r="2" spans="2:20" s="3" customFormat="1" x14ac:dyDescent="0.25">
      <c r="B2" s="22"/>
    </row>
    <row r="3" spans="2:20" s="3" customFormat="1" x14ac:dyDescent="0.25">
      <c r="B3" s="24" t="s">
        <v>19</v>
      </c>
      <c r="C3" s="23"/>
    </row>
    <row r="4" spans="2:20" s="3" customFormat="1" x14ac:dyDescent="0.25">
      <c r="B4" s="22"/>
      <c r="H4" s="326" t="s">
        <v>88</v>
      </c>
      <c r="I4" s="327">
        <v>0</v>
      </c>
      <c r="J4" s="327">
        <v>0</v>
      </c>
      <c r="K4" s="328">
        <v>0</v>
      </c>
    </row>
    <row r="5" spans="2:20" s="3" customFormat="1" x14ac:dyDescent="0.25">
      <c r="B5" s="29" t="s">
        <v>17</v>
      </c>
      <c r="H5" s="326" t="s">
        <v>89</v>
      </c>
      <c r="I5" s="327">
        <v>0</v>
      </c>
      <c r="J5" s="327">
        <v>0</v>
      </c>
      <c r="K5" s="328">
        <v>0</v>
      </c>
    </row>
    <row r="6" spans="2:20" s="3" customFormat="1" ht="6" customHeigh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1"/>
      <c r="P6" s="12"/>
    </row>
    <row r="7" spans="2:20" x14ac:dyDescent="0.25">
      <c r="B7" s="176" t="s">
        <v>12</v>
      </c>
      <c r="C7" s="192"/>
      <c r="D7" s="192"/>
      <c r="E7" s="8"/>
      <c r="F7" s="8"/>
      <c r="G7" s="8"/>
      <c r="H7" s="8"/>
      <c r="I7" s="8"/>
      <c r="J7" s="8"/>
      <c r="K7" s="8"/>
      <c r="L7" s="8"/>
      <c r="M7" s="8"/>
      <c r="N7" s="14"/>
      <c r="O7" s="8"/>
      <c r="P7" s="14"/>
      <c r="Q7" s="1" t="s">
        <v>213</v>
      </c>
    </row>
    <row r="8" spans="2:20" x14ac:dyDescent="0.25">
      <c r="B8" s="176" t="s">
        <v>13</v>
      </c>
      <c r="C8" s="192"/>
      <c r="D8" s="192"/>
      <c r="E8" s="8"/>
      <c r="F8" s="8"/>
      <c r="G8" s="9" t="s">
        <v>14</v>
      </c>
      <c r="H8" s="9"/>
      <c r="I8" s="9"/>
      <c r="J8" s="8"/>
      <c r="K8" s="8"/>
      <c r="L8" s="8"/>
      <c r="M8" s="30"/>
      <c r="N8" s="14"/>
      <c r="O8" s="30"/>
      <c r="P8" s="14"/>
      <c r="Q8" s="1" t="s">
        <v>214</v>
      </c>
    </row>
    <row r="9" spans="2:20" ht="15.75" thickBot="1" x14ac:dyDescent="0.3">
      <c r="B9" s="322" t="s">
        <v>115</v>
      </c>
      <c r="C9" s="323"/>
      <c r="D9" s="323"/>
      <c r="E9" s="98">
        <f>cal!E9</f>
        <v>75</v>
      </c>
      <c r="F9" s="265"/>
      <c r="G9" s="325" t="str">
        <f>B9</f>
        <v>Supply water</v>
      </c>
      <c r="H9" s="325"/>
      <c r="I9" s="325"/>
      <c r="J9" s="325"/>
      <c r="K9" s="98">
        <f>cal!K9</f>
        <v>8</v>
      </c>
      <c r="L9" s="8"/>
      <c r="M9" s="311" t="s">
        <v>106</v>
      </c>
      <c r="N9" s="312"/>
      <c r="O9" s="8"/>
      <c r="P9" s="14"/>
      <c r="Q9" s="1" t="s">
        <v>215</v>
      </c>
    </row>
    <row r="10" spans="2:20" ht="15.75" thickTop="1" x14ac:dyDescent="0.25">
      <c r="B10" s="322" t="s">
        <v>116</v>
      </c>
      <c r="C10" s="323"/>
      <c r="D10" s="323"/>
      <c r="E10" s="98">
        <f>cal!E10</f>
        <v>65</v>
      </c>
      <c r="F10" s="265"/>
      <c r="G10" s="325" t="str">
        <f>B10</f>
        <v>Return water</v>
      </c>
      <c r="H10" s="325"/>
      <c r="I10" s="325"/>
      <c r="J10" s="325"/>
      <c r="K10" s="98">
        <f>cal!K10</f>
        <v>14</v>
      </c>
      <c r="L10" s="8"/>
      <c r="M10" s="8"/>
      <c r="N10" s="14"/>
      <c r="O10" s="8"/>
      <c r="P10" s="14"/>
    </row>
    <row r="11" spans="2:20" x14ac:dyDescent="0.25">
      <c r="B11" s="251" t="s">
        <v>117</v>
      </c>
      <c r="C11" s="252"/>
      <c r="D11" s="252"/>
      <c r="E11" s="98">
        <f>cal!E11</f>
        <v>20</v>
      </c>
      <c r="F11" s="265"/>
      <c r="G11" s="325" t="str">
        <f>B11</f>
        <v>Entering air</v>
      </c>
      <c r="H11" s="325"/>
      <c r="I11" s="325"/>
      <c r="J11" s="325"/>
      <c r="K11" s="98">
        <f>cal!K11</f>
        <v>25</v>
      </c>
      <c r="L11" s="8"/>
      <c r="M11" s="8"/>
      <c r="N11" s="14"/>
      <c r="O11" s="8"/>
      <c r="P11" s="14"/>
    </row>
    <row r="12" spans="2:20" x14ac:dyDescent="0.25">
      <c r="B12" s="15"/>
      <c r="C12" s="8"/>
      <c r="D12" s="8"/>
      <c r="E12" s="8"/>
      <c r="F12" s="8"/>
      <c r="G12" s="192" t="s">
        <v>118</v>
      </c>
      <c r="H12" s="8"/>
      <c r="I12" s="8"/>
      <c r="J12" s="8"/>
      <c r="K12" s="65">
        <f>cal!K12</f>
        <v>0.5</v>
      </c>
      <c r="L12" s="8"/>
      <c r="M12" s="8"/>
      <c r="N12" s="14"/>
      <c r="O12" s="8"/>
      <c r="P12" s="14"/>
    </row>
    <row r="13" spans="2:20" ht="6" customHeight="1" x14ac:dyDescent="0.25">
      <c r="B13" s="16"/>
      <c r="C13" s="17"/>
      <c r="D13" s="17"/>
      <c r="E13" s="17"/>
      <c r="F13" s="18"/>
      <c r="G13" s="18"/>
      <c r="H13" s="18"/>
      <c r="I13" s="18"/>
      <c r="J13" s="18"/>
      <c r="K13" s="18"/>
      <c r="L13" s="18"/>
      <c r="M13" s="18"/>
      <c r="N13" s="19"/>
      <c r="O13" s="18"/>
      <c r="P13" s="19"/>
    </row>
    <row r="14" spans="2:20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</row>
    <row r="15" spans="2:20" s="2" customFormat="1" ht="95.45" customHeight="1" x14ac:dyDescent="0.25">
      <c r="B15" s="27" t="s">
        <v>185</v>
      </c>
      <c r="C15" s="20" t="s">
        <v>15</v>
      </c>
      <c r="D15" s="27" t="str">
        <f>CONCATENATE("Heat output  ",ROUND(E9,0),"/",ROUND(E10,0),"/",ROUND(E11,0)," ["&amp;IF(cal!$W$4=1,"W",IF(cal!$W$4=2,"Btu/h"))&amp;"]")</f>
        <v>Heat output  75/65/20 [W]</v>
      </c>
      <c r="E15" s="31" t="str">
        <f>"Water flowrate, heating ["&amp;IF(cal!$W$4=1,"l/h",IF(cal!$W$4=2,"GPM"))&amp;"]"</f>
        <v>Water flowrate, heating [l/h]</v>
      </c>
      <c r="F15" s="34" t="str">
        <f>"Watersided pressure loss ["&amp;IF(cal!$W$4=1,"kPa",IF(cal!$W$4=2,"inH2O"))&amp;"]"</f>
        <v>Watersided pressure loss [kPa]</v>
      </c>
      <c r="G15" s="20" t="str">
        <f>CONCATENATE("Sens. cooling capacity  ",ROUND(K9,0),"/",ROUND(K10,0),"/",ROUND(K11,0)," ["&amp;IF(cal!$W$4=1,"W",IF(cal!$W$4=2,"Btu/h"))&amp;"]")</f>
        <v>Sens. cooling capacity  8/14/25 [W]</v>
      </c>
      <c r="H15" s="20" t="str">
        <f>CONCATENATE("Tot. cooling capacity ",ROUND(K9,0),"/",ROUND(K10,0),"/",ROUND(K11,0)," ["&amp;IF(cal!$W$4=1,"W",IF(cal!$W$4=2,"Btu/h"))&amp;"]")</f>
        <v>Tot. cooling capacity 8/14/25 [W]</v>
      </c>
      <c r="I15" s="20" t="str">
        <f>"Water flowrate, cooling ["&amp;IF(cal!$W$4=1,"l/h",IF(cal!$W$4=2,"GPM"))&amp;"]"</f>
        <v>Water flowrate, cooling [l/h]</v>
      </c>
      <c r="J15" s="21" t="str">
        <f>"Watersided pressure loss ["&amp;IF(cal!$W$4=1,"kPa",IF(cal!$W$4=2,"inH2O"))&amp;"]"</f>
        <v>Watersided pressure loss [kPa]</v>
      </c>
      <c r="K15" s="27" t="s">
        <v>47</v>
      </c>
      <c r="L15" s="33" t="s">
        <v>48</v>
      </c>
      <c r="M15" s="20" t="s">
        <v>16</v>
      </c>
      <c r="N15" s="26" t="str">
        <f>"Air flowrate ["&amp;IF(cal!$W$4=1,"m³/h",IF(cal!$W$4=2,"CFM"))&amp;"]"</f>
        <v>Air flowrate [m³/h]</v>
      </c>
      <c r="O15" s="20" t="str">
        <f>"Air exhaust temp. heating  ["&amp;IF(cal!$W$4=1,"°C",IF(cal!$W$4=2,"°F"))&amp;"]"</f>
        <v>Air exhaust temp. heating  [°C]</v>
      </c>
      <c r="P15" s="20" t="str">
        <f>"Air exhaust temp. cooling  ["&amp;IF(cal!$W$4=1,"°C",IF(cal!$W$4=2,"°F"))&amp;"]"</f>
        <v>Air exhaust temp. cooling  [°C]</v>
      </c>
    </row>
    <row r="16" spans="2:20" ht="18" customHeight="1" x14ac:dyDescent="0.25">
      <c r="B16" s="319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1)"</f>
        <v>Briza 12 height 41 cm width 14 cm length 75 cm (Type 1)</v>
      </c>
      <c r="C16" s="320"/>
      <c r="D16" s="319"/>
      <c r="E16" s="321"/>
      <c r="F16" s="320"/>
      <c r="G16" s="320"/>
      <c r="H16" s="320"/>
      <c r="I16" s="320"/>
      <c r="J16" s="320"/>
      <c r="K16" s="319"/>
      <c r="L16" s="320"/>
      <c r="M16" s="320"/>
      <c r="N16" s="321"/>
      <c r="R16" s="1" t="s">
        <v>93</v>
      </c>
      <c r="T16" s="197" t="s">
        <v>119</v>
      </c>
    </row>
    <row r="17" spans="2:20" x14ac:dyDescent="0.25">
      <c r="B17" s="35"/>
      <c r="C17" s="4"/>
      <c r="D17" s="28"/>
      <c r="E17" s="5"/>
      <c r="F17" s="32"/>
      <c r="G17" s="5"/>
      <c r="H17" s="5"/>
      <c r="I17" s="5"/>
      <c r="J17" s="6"/>
      <c r="K17" s="28"/>
      <c r="L17" s="44"/>
      <c r="M17" s="48"/>
      <c r="N17" s="36"/>
      <c r="O17" s="48"/>
      <c r="P17" s="36"/>
      <c r="R17" s="1" t="s">
        <v>96</v>
      </c>
      <c r="T17" s="197" t="s">
        <v>120</v>
      </c>
    </row>
    <row r="18" spans="2:20" x14ac:dyDescent="0.25">
      <c r="B18" s="35"/>
      <c r="C18" s="4"/>
      <c r="D18" s="28"/>
      <c r="E18" s="5"/>
      <c r="F18" s="32"/>
      <c r="G18" s="5"/>
      <c r="H18" s="5"/>
      <c r="I18" s="5"/>
      <c r="J18" s="6"/>
      <c r="K18" s="28"/>
      <c r="L18" s="44"/>
      <c r="M18" s="48"/>
      <c r="N18" s="36"/>
      <c r="O18" s="48"/>
      <c r="P18" s="36"/>
      <c r="R18" s="1" t="s">
        <v>97</v>
      </c>
      <c r="T18" s="197" t="s">
        <v>121</v>
      </c>
    </row>
    <row r="19" spans="2:20" x14ac:dyDescent="0.25">
      <c r="B19" s="35"/>
      <c r="C19" s="4"/>
      <c r="D19" s="28"/>
      <c r="E19" s="5"/>
      <c r="F19" s="32"/>
      <c r="G19" s="5"/>
      <c r="H19" s="5"/>
      <c r="I19" s="5"/>
      <c r="J19" s="6"/>
      <c r="K19" s="28"/>
      <c r="L19" s="44"/>
      <c r="M19" s="48"/>
      <c r="N19" s="36"/>
      <c r="O19" s="48"/>
      <c r="P19" s="36"/>
    </row>
    <row r="20" spans="2:20" x14ac:dyDescent="0.25">
      <c r="B20" s="35"/>
      <c r="C20" s="4"/>
      <c r="D20" s="28"/>
      <c r="E20" s="5"/>
      <c r="F20" s="32"/>
      <c r="G20" s="5"/>
      <c r="H20" s="5"/>
      <c r="I20" s="5"/>
      <c r="J20" s="6"/>
      <c r="K20" s="28"/>
      <c r="L20" s="44"/>
      <c r="M20" s="48"/>
      <c r="N20" s="36"/>
      <c r="O20" s="48"/>
      <c r="P20" s="36"/>
    </row>
    <row r="21" spans="2:20" x14ac:dyDescent="0.25">
      <c r="B21" s="35"/>
      <c r="C21" s="4"/>
      <c r="D21" s="28"/>
      <c r="E21" s="5"/>
      <c r="F21" s="32"/>
      <c r="G21" s="5"/>
      <c r="H21" s="5"/>
      <c r="I21" s="5"/>
      <c r="J21" s="6"/>
      <c r="K21" s="28"/>
      <c r="L21" s="44"/>
      <c r="M21" s="48"/>
      <c r="N21" s="36"/>
      <c r="O21" s="48"/>
      <c r="P21" s="36"/>
    </row>
    <row r="22" spans="2:20" ht="16.899999999999999" customHeight="1" x14ac:dyDescent="0.25">
      <c r="B22" s="319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2)"</f>
        <v>Briza 12 height 41 cm width 14 cm length 95 cm (Type 2)</v>
      </c>
      <c r="C22" s="320"/>
      <c r="D22" s="319"/>
      <c r="E22" s="321"/>
      <c r="F22" s="320"/>
      <c r="G22" s="320"/>
      <c r="H22" s="320"/>
      <c r="I22" s="320"/>
      <c r="J22" s="320"/>
      <c r="K22" s="319"/>
      <c r="L22" s="320"/>
      <c r="M22" s="320"/>
      <c r="N22" s="321"/>
    </row>
    <row r="23" spans="2:20" x14ac:dyDescent="0.25">
      <c r="B23" s="35"/>
      <c r="C23" s="4"/>
      <c r="D23" s="28"/>
      <c r="E23" s="5"/>
      <c r="F23" s="32"/>
      <c r="G23" s="5"/>
      <c r="H23" s="5"/>
      <c r="I23" s="5"/>
      <c r="J23" s="6"/>
      <c r="K23" s="28"/>
      <c r="L23" s="44"/>
      <c r="M23" s="48"/>
      <c r="N23" s="36"/>
      <c r="O23" s="48"/>
      <c r="P23" s="36"/>
    </row>
    <row r="24" spans="2:20" x14ac:dyDescent="0.25">
      <c r="B24" s="35"/>
      <c r="C24" s="4"/>
      <c r="D24" s="28"/>
      <c r="E24" s="5"/>
      <c r="F24" s="32"/>
      <c r="G24" s="5"/>
      <c r="H24" s="5"/>
      <c r="I24" s="5"/>
      <c r="J24" s="6"/>
      <c r="K24" s="28"/>
      <c r="L24" s="44"/>
      <c r="M24" s="48"/>
      <c r="N24" s="36"/>
      <c r="O24" s="48"/>
      <c r="P24" s="36"/>
    </row>
    <row r="25" spans="2:20" x14ac:dyDescent="0.25">
      <c r="B25" s="35"/>
      <c r="C25" s="4"/>
      <c r="D25" s="28"/>
      <c r="E25" s="5"/>
      <c r="F25" s="32"/>
      <c r="G25" s="5"/>
      <c r="H25" s="5"/>
      <c r="I25" s="5"/>
      <c r="J25" s="6"/>
      <c r="K25" s="28"/>
      <c r="L25" s="44"/>
      <c r="M25" s="48"/>
      <c r="N25" s="36"/>
      <c r="O25" s="48"/>
      <c r="P25" s="36"/>
    </row>
    <row r="26" spans="2:20" x14ac:dyDescent="0.25">
      <c r="B26" s="35"/>
      <c r="C26" s="4"/>
      <c r="D26" s="28"/>
      <c r="E26" s="5"/>
      <c r="F26" s="32"/>
      <c r="G26" s="5"/>
      <c r="H26" s="5"/>
      <c r="I26" s="5"/>
      <c r="J26" s="6"/>
      <c r="K26" s="28"/>
      <c r="L26" s="44"/>
      <c r="M26" s="48"/>
      <c r="N26" s="36"/>
      <c r="O26" s="48"/>
      <c r="P26" s="36"/>
    </row>
    <row r="27" spans="2:20" x14ac:dyDescent="0.25">
      <c r="B27" s="35"/>
      <c r="C27" s="4"/>
      <c r="D27" s="28"/>
      <c r="E27" s="5"/>
      <c r="F27" s="32"/>
      <c r="G27" s="5"/>
      <c r="H27" s="5"/>
      <c r="I27" s="5"/>
      <c r="J27" s="6"/>
      <c r="K27" s="28"/>
      <c r="L27" s="44"/>
      <c r="M27" s="48"/>
      <c r="N27" s="36"/>
      <c r="O27" s="48"/>
      <c r="P27" s="36"/>
    </row>
    <row r="28" spans="2:20" ht="18" customHeight="1" x14ac:dyDescent="0.25">
      <c r="B28" s="319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Briza 12 height 41 cm width 14 cm length 125 cm (Type 3)</v>
      </c>
      <c r="C28" s="320"/>
      <c r="D28" s="319"/>
      <c r="E28" s="321"/>
      <c r="F28" s="320"/>
      <c r="G28" s="320"/>
      <c r="H28" s="320"/>
      <c r="I28" s="320"/>
      <c r="J28" s="320"/>
      <c r="K28" s="319"/>
      <c r="L28" s="320"/>
      <c r="M28" s="320"/>
      <c r="N28" s="321"/>
    </row>
    <row r="29" spans="2:20" x14ac:dyDescent="0.25">
      <c r="B29" s="35"/>
      <c r="C29" s="4"/>
      <c r="D29" s="28"/>
      <c r="E29" s="5"/>
      <c r="F29" s="32"/>
      <c r="G29" s="5"/>
      <c r="H29" s="5"/>
      <c r="I29" s="5"/>
      <c r="J29" s="6"/>
      <c r="K29" s="28"/>
      <c r="L29" s="44"/>
      <c r="M29" s="48"/>
      <c r="N29" s="36"/>
      <c r="O29" s="48"/>
      <c r="P29" s="36"/>
    </row>
    <row r="30" spans="2:20" x14ac:dyDescent="0.25">
      <c r="B30" s="35"/>
      <c r="C30" s="4"/>
      <c r="D30" s="28"/>
      <c r="E30" s="5"/>
      <c r="F30" s="32"/>
      <c r="G30" s="5"/>
      <c r="H30" s="5"/>
      <c r="I30" s="5"/>
      <c r="J30" s="6"/>
      <c r="K30" s="28"/>
      <c r="L30" s="44"/>
      <c r="M30" s="48"/>
      <c r="N30" s="36"/>
      <c r="O30" s="48"/>
      <c r="P30" s="36"/>
    </row>
    <row r="31" spans="2:20" x14ac:dyDescent="0.25">
      <c r="B31" s="35"/>
      <c r="C31" s="4"/>
      <c r="D31" s="28"/>
      <c r="E31" s="5"/>
      <c r="F31" s="32"/>
      <c r="G31" s="5"/>
      <c r="H31" s="5"/>
      <c r="I31" s="5"/>
      <c r="J31" s="6"/>
      <c r="K31" s="28"/>
      <c r="L31" s="44"/>
      <c r="M31" s="48"/>
      <c r="N31" s="36"/>
      <c r="O31" s="48"/>
      <c r="P31" s="36"/>
    </row>
    <row r="32" spans="2:20" x14ac:dyDescent="0.25">
      <c r="B32" s="35"/>
      <c r="C32" s="4"/>
      <c r="D32" s="28"/>
      <c r="E32" s="5"/>
      <c r="F32" s="32"/>
      <c r="G32" s="5"/>
      <c r="H32" s="5"/>
      <c r="I32" s="5"/>
      <c r="J32" s="6"/>
      <c r="K32" s="28"/>
      <c r="L32" s="44"/>
      <c r="M32" s="48"/>
      <c r="N32" s="36"/>
      <c r="O32" s="48"/>
      <c r="P32" s="36"/>
    </row>
    <row r="33" spans="2:16" x14ac:dyDescent="0.25">
      <c r="B33" s="35"/>
      <c r="C33" s="4"/>
      <c r="D33" s="28"/>
      <c r="E33" s="5"/>
      <c r="F33" s="32"/>
      <c r="G33" s="5"/>
      <c r="H33" s="5"/>
      <c r="I33" s="5"/>
      <c r="J33" s="6"/>
      <c r="K33" s="28"/>
      <c r="L33" s="44"/>
      <c r="M33" s="48"/>
      <c r="N33" s="36"/>
      <c r="O33" s="48"/>
      <c r="P33" s="36"/>
    </row>
    <row r="34" spans="2:16" ht="16.899999999999999" customHeight="1" x14ac:dyDescent="0.25">
      <c r="B34" s="319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Briza 12 height 41 cm width 14 cm length 145 cm (Type 4)</v>
      </c>
      <c r="C34" s="320"/>
      <c r="D34" s="319"/>
      <c r="E34" s="321"/>
      <c r="F34" s="320"/>
      <c r="G34" s="320"/>
      <c r="H34" s="320"/>
      <c r="I34" s="320"/>
      <c r="J34" s="320"/>
      <c r="K34" s="319"/>
      <c r="L34" s="320"/>
      <c r="M34" s="320"/>
      <c r="N34" s="321"/>
    </row>
    <row r="35" spans="2:16" x14ac:dyDescent="0.25">
      <c r="B35" s="35"/>
      <c r="C35" s="4"/>
      <c r="D35" s="28"/>
      <c r="E35" s="5"/>
      <c r="F35" s="32"/>
      <c r="G35" s="5"/>
      <c r="H35" s="5"/>
      <c r="I35" s="5"/>
      <c r="J35" s="6"/>
      <c r="K35" s="28"/>
      <c r="L35" s="44"/>
      <c r="M35" s="48"/>
      <c r="N35" s="36"/>
      <c r="O35" s="48"/>
      <c r="P35" s="36"/>
    </row>
    <row r="36" spans="2:16" x14ac:dyDescent="0.25">
      <c r="B36" s="35"/>
      <c r="C36" s="4"/>
      <c r="D36" s="28"/>
      <c r="E36" s="5"/>
      <c r="F36" s="32"/>
      <c r="G36" s="5"/>
      <c r="H36" s="5"/>
      <c r="I36" s="5"/>
      <c r="J36" s="6"/>
      <c r="K36" s="28"/>
      <c r="L36" s="44"/>
      <c r="M36" s="48"/>
      <c r="N36" s="36"/>
      <c r="O36" s="48"/>
      <c r="P36" s="36"/>
    </row>
    <row r="37" spans="2:16" x14ac:dyDescent="0.25">
      <c r="B37" s="35"/>
      <c r="C37" s="4"/>
      <c r="D37" s="28"/>
      <c r="E37" s="5"/>
      <c r="F37" s="32"/>
      <c r="G37" s="5"/>
      <c r="H37" s="5"/>
      <c r="I37" s="5"/>
      <c r="J37" s="6"/>
      <c r="K37" s="28"/>
      <c r="L37" s="44"/>
      <c r="M37" s="48"/>
      <c r="N37" s="36"/>
      <c r="O37" s="48"/>
      <c r="P37" s="36"/>
    </row>
    <row r="38" spans="2:16" x14ac:dyDescent="0.25">
      <c r="B38" s="35"/>
      <c r="C38" s="4"/>
      <c r="D38" s="28"/>
      <c r="E38" s="5"/>
      <c r="F38" s="32"/>
      <c r="G38" s="5"/>
      <c r="H38" s="5"/>
      <c r="I38" s="5"/>
      <c r="J38" s="6"/>
      <c r="K38" s="28"/>
      <c r="L38" s="44"/>
      <c r="M38" s="48"/>
      <c r="N38" s="36"/>
      <c r="O38" s="48"/>
      <c r="P38" s="36"/>
    </row>
    <row r="39" spans="2:16" x14ac:dyDescent="0.25">
      <c r="B39" s="37"/>
      <c r="C39" s="38"/>
      <c r="D39" s="39"/>
      <c r="E39" s="40"/>
      <c r="F39" s="41"/>
      <c r="G39" s="40"/>
      <c r="H39" s="40"/>
      <c r="I39" s="40"/>
      <c r="J39" s="42"/>
      <c r="K39" s="39"/>
      <c r="L39" s="45"/>
      <c r="M39" s="48"/>
      <c r="N39" s="43"/>
      <c r="O39" s="48"/>
      <c r="P39" s="43"/>
    </row>
    <row r="40" spans="2:16" ht="9.4" customHeight="1" x14ac:dyDescent="0.25">
      <c r="B40" s="7" t="s">
        <v>53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49"/>
      <c r="N40" s="47" t="str">
        <f>cal!P40</f>
        <v>v2021-04-26</v>
      </c>
      <c r="O40" s="49"/>
      <c r="P40" s="47"/>
    </row>
    <row r="41" spans="2:16" ht="9.4" customHeight="1" x14ac:dyDescent="0.25">
      <c r="B41" s="7" t="s">
        <v>54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2:16" ht="9.4" customHeight="1" x14ac:dyDescent="0.25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2:16" s="3" customFormat="1" ht="16.149999999999999" hidden="1" customHeight="1" x14ac:dyDescent="0.25"/>
    <row r="44" spans="2:16" x14ac:dyDescent="0.25"/>
    <row r="45" spans="2:16" x14ac:dyDescent="0.25"/>
    <row r="46" spans="2:16" x14ac:dyDescent="0.25"/>
    <row r="47" spans="2:16" x14ac:dyDescent="0.25"/>
    <row r="48" spans="2:16" x14ac:dyDescent="0.25"/>
    <row r="49" x14ac:dyDescent="0.25"/>
  </sheetData>
  <sheetProtection selectLockedCells="1"/>
  <mergeCells count="12">
    <mergeCell ref="B34:N34"/>
    <mergeCell ref="H4:K4"/>
    <mergeCell ref="H5:K5"/>
    <mergeCell ref="B9:D9"/>
    <mergeCell ref="G9:J9"/>
    <mergeCell ref="M9:N9"/>
    <mergeCell ref="B10:D10"/>
    <mergeCell ref="G10:J10"/>
    <mergeCell ref="G11:J11"/>
    <mergeCell ref="B16:N16"/>
    <mergeCell ref="B22:N22"/>
    <mergeCell ref="B28:N28"/>
  </mergeCells>
  <dataValidations count="7">
    <dataValidation type="decimal" errorStyle="information" allowBlank="1" showErrorMessage="1" error="Eingabe außerhalb des gültigen Bereichs." prompt="20°C bis 35°C" sqref="K12">
      <formula1>0.01</formula1>
      <formula2>1</formula2>
    </dataValidation>
    <dataValidation type="whole" errorStyle="information" allowBlank="1" showErrorMessage="1" error="Eingabe außerhalb des gültigen Bereichs." prompt="Eingabe zwischen 5°C bis 20°C" sqref="K9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K10">
      <formula1>K9</formula1>
      <formula2>K11</formula2>
    </dataValidation>
    <dataValidation type="whole" errorStyle="information" allowBlank="1" showErrorMessage="1" error="Temperatur außerhalb des gütligen Bereichs." prompt="Eingabe zwischen 30°C bis 95°C" sqref="E9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E10">
      <formula1>E11</formula1>
      <formula2>E9</formula2>
    </dataValidation>
    <dataValidation type="whole" errorStyle="information" allowBlank="1" showErrorMessage="1" error="Eingabe außerhalb des gültigen Bereichs." prompt="Eingabe zwischen 16°C bis 30°C" sqref="E11">
      <formula1>16</formula1>
      <formula2>30</formula2>
    </dataValidation>
    <dataValidation type="whole" errorStyle="information" allowBlank="1" showErrorMessage="1" error="Eingabe außerhalb des gültigen Bereichs." prompt="20°C bis 35°C" sqref="K11">
      <formula1>20</formula1>
      <formula2>35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2"/>
  <dimension ref="B1:T49"/>
  <sheetViews>
    <sheetView workbookViewId="0">
      <selection activeCell="K2" sqref="K2:L2"/>
    </sheetView>
  </sheetViews>
  <sheetFormatPr defaultColWidth="5.7109375" defaultRowHeight="15" zeroHeight="1" x14ac:dyDescent="0.25"/>
  <cols>
    <col min="1" max="1" width="5.7109375" style="1"/>
    <col min="2" max="2" width="7" style="1" customWidth="1"/>
    <col min="3" max="3" width="6.140625" style="1" customWidth="1"/>
    <col min="4" max="4" width="7" style="1" customWidth="1"/>
    <col min="5" max="5" width="6.7109375" style="1" customWidth="1"/>
    <col min="6" max="16" width="7" style="1" customWidth="1"/>
    <col min="17" max="16384" width="5.7109375" style="1"/>
  </cols>
  <sheetData>
    <row r="1" spans="2:20" x14ac:dyDescent="0.25"/>
    <row r="2" spans="2:20" s="3" customFormat="1" x14ac:dyDescent="0.25">
      <c r="B2" s="22"/>
    </row>
    <row r="3" spans="2:20" s="3" customFormat="1" x14ac:dyDescent="0.25">
      <c r="B3" s="24" t="s">
        <v>19</v>
      </c>
      <c r="C3" s="23"/>
    </row>
    <row r="4" spans="2:20" s="3" customFormat="1" x14ac:dyDescent="0.25">
      <c r="B4" s="22"/>
      <c r="H4" s="326" t="s">
        <v>88</v>
      </c>
      <c r="I4" s="327">
        <v>0</v>
      </c>
      <c r="J4" s="327">
        <v>0</v>
      </c>
      <c r="K4" s="328">
        <v>0</v>
      </c>
    </row>
    <row r="5" spans="2:20" s="3" customFormat="1" x14ac:dyDescent="0.25">
      <c r="B5" s="29" t="s">
        <v>17</v>
      </c>
      <c r="H5" s="326" t="s">
        <v>89</v>
      </c>
      <c r="I5" s="327">
        <v>0</v>
      </c>
      <c r="J5" s="327">
        <v>0</v>
      </c>
      <c r="K5" s="328">
        <v>0</v>
      </c>
    </row>
    <row r="6" spans="2:20" s="3" customFormat="1" ht="6" customHeigh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1"/>
      <c r="P6" s="12"/>
    </row>
    <row r="7" spans="2:20" x14ac:dyDescent="0.25">
      <c r="B7" s="176" t="s">
        <v>12</v>
      </c>
      <c r="C7" s="192"/>
      <c r="D7" s="192"/>
      <c r="E7" s="8"/>
      <c r="F7" s="8"/>
      <c r="G7" s="8"/>
      <c r="H7" s="8"/>
      <c r="I7" s="8"/>
      <c r="J7" s="8"/>
      <c r="K7" s="8"/>
      <c r="L7" s="8"/>
      <c r="M7" s="8"/>
      <c r="N7" s="14"/>
      <c r="O7" s="8"/>
      <c r="P7" s="14"/>
      <c r="Q7" s="1" t="s">
        <v>213</v>
      </c>
    </row>
    <row r="8" spans="2:20" x14ac:dyDescent="0.25">
      <c r="B8" s="176" t="s">
        <v>13</v>
      </c>
      <c r="C8" s="192"/>
      <c r="D8" s="192"/>
      <c r="E8" s="8"/>
      <c r="F8" s="8"/>
      <c r="G8" s="9" t="s">
        <v>14</v>
      </c>
      <c r="H8" s="9"/>
      <c r="I8" s="9"/>
      <c r="J8" s="8"/>
      <c r="K8" s="8"/>
      <c r="L8" s="8"/>
      <c r="M8" s="30"/>
      <c r="N8" s="14"/>
      <c r="O8" s="30"/>
      <c r="P8" s="14"/>
      <c r="Q8" s="1" t="s">
        <v>214</v>
      </c>
    </row>
    <row r="9" spans="2:20" ht="15.75" thickBot="1" x14ac:dyDescent="0.3">
      <c r="B9" s="322" t="s">
        <v>115</v>
      </c>
      <c r="C9" s="323"/>
      <c r="D9" s="323"/>
      <c r="E9" s="98">
        <f>cal!E9</f>
        <v>75</v>
      </c>
      <c r="F9" s="265"/>
      <c r="G9" s="325" t="str">
        <f>B9</f>
        <v>Supply water</v>
      </c>
      <c r="H9" s="325"/>
      <c r="I9" s="325"/>
      <c r="J9" s="325"/>
      <c r="K9" s="98">
        <f>cal!K9</f>
        <v>8</v>
      </c>
      <c r="L9" s="8"/>
      <c r="M9" s="311" t="s">
        <v>106</v>
      </c>
      <c r="N9" s="312"/>
      <c r="O9" s="8"/>
      <c r="P9" s="14"/>
      <c r="Q9" s="1" t="s">
        <v>215</v>
      </c>
    </row>
    <row r="10" spans="2:20" ht="15.75" thickTop="1" x14ac:dyDescent="0.25">
      <c r="B10" s="322" t="s">
        <v>116</v>
      </c>
      <c r="C10" s="323"/>
      <c r="D10" s="323"/>
      <c r="E10" s="98">
        <f>cal!E10</f>
        <v>65</v>
      </c>
      <c r="F10" s="265"/>
      <c r="G10" s="325" t="str">
        <f>B10</f>
        <v>Return water</v>
      </c>
      <c r="H10" s="325"/>
      <c r="I10" s="325"/>
      <c r="J10" s="325"/>
      <c r="K10" s="98">
        <f>cal!K10</f>
        <v>14</v>
      </c>
      <c r="L10" s="8"/>
      <c r="M10" s="8"/>
      <c r="N10" s="14"/>
      <c r="O10" s="8"/>
      <c r="P10" s="14"/>
    </row>
    <row r="11" spans="2:20" x14ac:dyDescent="0.25">
      <c r="B11" s="251" t="s">
        <v>117</v>
      </c>
      <c r="C11" s="252"/>
      <c r="D11" s="252"/>
      <c r="E11" s="98">
        <f>cal!E11</f>
        <v>20</v>
      </c>
      <c r="F11" s="265"/>
      <c r="G11" s="325" t="str">
        <f>B11</f>
        <v>Entering air</v>
      </c>
      <c r="H11" s="325"/>
      <c r="I11" s="325"/>
      <c r="J11" s="325"/>
      <c r="K11" s="98">
        <f>cal!K11</f>
        <v>25</v>
      </c>
      <c r="L11" s="8"/>
      <c r="M11" s="8"/>
      <c r="N11" s="14"/>
      <c r="O11" s="8"/>
      <c r="P11" s="14"/>
    </row>
    <row r="12" spans="2:20" x14ac:dyDescent="0.25">
      <c r="B12" s="15"/>
      <c r="C12" s="8"/>
      <c r="D12" s="8"/>
      <c r="E12" s="8"/>
      <c r="F12" s="8"/>
      <c r="G12" s="192" t="s">
        <v>118</v>
      </c>
      <c r="H12" s="8"/>
      <c r="I12" s="8"/>
      <c r="J12" s="8"/>
      <c r="K12" s="65">
        <f>cal!K12</f>
        <v>0.5</v>
      </c>
      <c r="L12" s="8"/>
      <c r="M12" s="8"/>
      <c r="N12" s="14"/>
      <c r="O12" s="8"/>
      <c r="P12" s="14"/>
    </row>
    <row r="13" spans="2:20" ht="6" customHeight="1" x14ac:dyDescent="0.25">
      <c r="B13" s="16"/>
      <c r="C13" s="17"/>
      <c r="D13" s="17"/>
      <c r="E13" s="17"/>
      <c r="F13" s="18"/>
      <c r="G13" s="18"/>
      <c r="H13" s="18"/>
      <c r="I13" s="18"/>
      <c r="J13" s="18"/>
      <c r="K13" s="18"/>
      <c r="L13" s="18"/>
      <c r="M13" s="18"/>
      <c r="N13" s="19"/>
      <c r="O13" s="18"/>
      <c r="P13" s="19"/>
    </row>
    <row r="14" spans="2:20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</row>
    <row r="15" spans="2:20" s="2" customFormat="1" ht="95.45" customHeight="1" x14ac:dyDescent="0.25">
      <c r="B15" s="27" t="s">
        <v>185</v>
      </c>
      <c r="C15" s="20" t="s">
        <v>15</v>
      </c>
      <c r="D15" s="27" t="str">
        <f>CONCATENATE("Heat output  ",ROUND(E9,0),"/",ROUND(E10,0),"/",ROUND(E11,0)," ["&amp;IF(cal!$W$4=1,"W",IF(cal!$W$4=2,"Btu/h"))&amp;"]")</f>
        <v>Heat output  75/65/20 [W]</v>
      </c>
      <c r="E15" s="31" t="str">
        <f>"Water flowrate, heating ["&amp;IF(cal!$W$4=1,"l/h",IF(cal!$W$4=2,"GPM"))&amp;"]"</f>
        <v>Water flowrate, heating [l/h]</v>
      </c>
      <c r="F15" s="34" t="str">
        <f>"Watersided pressure loss ["&amp;IF(cal!$W$4=1,"kPa",IF(cal!$W$4=2,"inH2O"))&amp;"]"</f>
        <v>Watersided pressure loss [kPa]</v>
      </c>
      <c r="G15" s="20" t="str">
        <f>CONCATENATE("Sens. cooling capacity  ",ROUND(K9,0),"/",ROUND(K10,0),"/",ROUND(K11,0)," ["&amp;IF(cal!$W$4=1,"W",IF(cal!$W$4=2,"Btu/h"))&amp;"]")</f>
        <v>Sens. cooling capacity  8/14/25 [W]</v>
      </c>
      <c r="H15" s="20" t="str">
        <f>CONCATENATE("Tot. cooling capacity ",ROUND(K9,0),"/",ROUND(K10,0),"/",ROUND(K11,0)," ["&amp;IF(cal!$W$4=1,"W",IF(cal!$W$4=2,"Btu/h"))&amp;"]")</f>
        <v>Tot. cooling capacity 8/14/25 [W]</v>
      </c>
      <c r="I15" s="20" t="str">
        <f>"Water flowrate, cooling ["&amp;IF(cal!$W$4=1,"l/h",IF(cal!$W$4=2,"GPM"))&amp;"]"</f>
        <v>Water flowrate, cooling [l/h]</v>
      </c>
      <c r="J15" s="21" t="str">
        <f>"Watersided pressure loss ["&amp;IF(cal!$W$4=1,"kPa",IF(cal!$W$4=2,"inH2O"))&amp;"]"</f>
        <v>Watersided pressure loss [kPa]</v>
      </c>
      <c r="K15" s="27" t="s">
        <v>47</v>
      </c>
      <c r="L15" s="33" t="s">
        <v>48</v>
      </c>
      <c r="M15" s="20" t="s">
        <v>16</v>
      </c>
      <c r="N15" s="26" t="str">
        <f>"Air flowrate ["&amp;IF(cal!$W$4=1,"m³/h",IF(cal!$W$4=2,"CFM"))&amp;"]"</f>
        <v>Air flowrate [m³/h]</v>
      </c>
      <c r="O15" s="20" t="str">
        <f>"Air exhaust temp. heating  ["&amp;IF(cal!$W$4=1,"°C",IF(cal!$W$4=2,"°F"))&amp;"]"</f>
        <v>Air exhaust temp. heating  [°C]</v>
      </c>
      <c r="P15" s="20" t="str">
        <f>"Air exhaust temp. cooling  ["&amp;IF(cal!$W$4=1,"°C",IF(cal!$W$4=2,"°F"))&amp;"]"</f>
        <v>Air exhaust temp. cooling  [°C]</v>
      </c>
    </row>
    <row r="16" spans="2:20" ht="18" customHeight="1" x14ac:dyDescent="0.25">
      <c r="B16" s="319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1)"</f>
        <v>Briza 12 height 41 cm width 14 cm length 75 cm (Type 1)</v>
      </c>
      <c r="C16" s="320"/>
      <c r="D16" s="319"/>
      <c r="E16" s="321"/>
      <c r="F16" s="320"/>
      <c r="G16" s="320"/>
      <c r="H16" s="320"/>
      <c r="I16" s="320"/>
      <c r="J16" s="320"/>
      <c r="K16" s="319"/>
      <c r="L16" s="320"/>
      <c r="M16" s="320"/>
      <c r="N16" s="321"/>
      <c r="R16" s="1" t="s">
        <v>93</v>
      </c>
      <c r="T16" s="197" t="s">
        <v>119</v>
      </c>
    </row>
    <row r="17" spans="2:20" x14ac:dyDescent="0.25">
      <c r="B17" s="35"/>
      <c r="C17" s="4"/>
      <c r="D17" s="28"/>
      <c r="E17" s="5"/>
      <c r="F17" s="32"/>
      <c r="G17" s="5"/>
      <c r="H17" s="5"/>
      <c r="I17" s="5"/>
      <c r="J17" s="6"/>
      <c r="K17" s="28"/>
      <c r="L17" s="44"/>
      <c r="M17" s="48"/>
      <c r="N17" s="36"/>
      <c r="O17" s="48"/>
      <c r="P17" s="36"/>
      <c r="R17" s="1" t="s">
        <v>96</v>
      </c>
      <c r="T17" s="197" t="s">
        <v>120</v>
      </c>
    </row>
    <row r="18" spans="2:20" x14ac:dyDescent="0.25">
      <c r="B18" s="35"/>
      <c r="C18" s="4"/>
      <c r="D18" s="28"/>
      <c r="E18" s="5"/>
      <c r="F18" s="32"/>
      <c r="G18" s="5"/>
      <c r="H18" s="5"/>
      <c r="I18" s="5"/>
      <c r="J18" s="6"/>
      <c r="K18" s="28"/>
      <c r="L18" s="44"/>
      <c r="M18" s="48"/>
      <c r="N18" s="36"/>
      <c r="O18" s="48"/>
      <c r="P18" s="36"/>
      <c r="R18" s="1" t="s">
        <v>97</v>
      </c>
      <c r="T18" s="197" t="s">
        <v>121</v>
      </c>
    </row>
    <row r="19" spans="2:20" x14ac:dyDescent="0.25">
      <c r="B19" s="35"/>
      <c r="C19" s="4"/>
      <c r="D19" s="28"/>
      <c r="E19" s="5"/>
      <c r="F19" s="32"/>
      <c r="G19" s="5"/>
      <c r="H19" s="5"/>
      <c r="I19" s="5"/>
      <c r="J19" s="6"/>
      <c r="K19" s="28"/>
      <c r="L19" s="44"/>
      <c r="M19" s="48"/>
      <c r="N19" s="36"/>
      <c r="O19" s="48"/>
      <c r="P19" s="36"/>
    </row>
    <row r="20" spans="2:20" x14ac:dyDescent="0.25">
      <c r="B20" s="35"/>
      <c r="C20" s="4"/>
      <c r="D20" s="28"/>
      <c r="E20" s="5"/>
      <c r="F20" s="32"/>
      <c r="G20" s="5"/>
      <c r="H20" s="5"/>
      <c r="I20" s="5"/>
      <c r="J20" s="6"/>
      <c r="K20" s="28"/>
      <c r="L20" s="44"/>
      <c r="M20" s="48"/>
      <c r="N20" s="36"/>
      <c r="O20" s="48"/>
      <c r="P20" s="36"/>
    </row>
    <row r="21" spans="2:20" x14ac:dyDescent="0.25">
      <c r="B21" s="35"/>
      <c r="C21" s="4"/>
      <c r="D21" s="28"/>
      <c r="E21" s="5"/>
      <c r="F21" s="32"/>
      <c r="G21" s="5"/>
      <c r="H21" s="5"/>
      <c r="I21" s="5"/>
      <c r="J21" s="6"/>
      <c r="K21" s="28"/>
      <c r="L21" s="44"/>
      <c r="M21" s="48"/>
      <c r="N21" s="36"/>
      <c r="O21" s="48"/>
      <c r="P21" s="36"/>
    </row>
    <row r="22" spans="2:20" ht="16.899999999999999" customHeight="1" x14ac:dyDescent="0.25">
      <c r="B22" s="319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2)"</f>
        <v>Briza 12 height 41 cm width 14 cm length 95 cm (Type 2)</v>
      </c>
      <c r="C22" s="320"/>
      <c r="D22" s="319"/>
      <c r="E22" s="321"/>
      <c r="F22" s="320"/>
      <c r="G22" s="320"/>
      <c r="H22" s="320"/>
      <c r="I22" s="320"/>
      <c r="J22" s="320"/>
      <c r="K22" s="319"/>
      <c r="L22" s="320"/>
      <c r="M22" s="320"/>
      <c r="N22" s="321"/>
    </row>
    <row r="23" spans="2:20" x14ac:dyDescent="0.25">
      <c r="B23" s="35"/>
      <c r="C23" s="4"/>
      <c r="D23" s="28"/>
      <c r="E23" s="5"/>
      <c r="F23" s="32"/>
      <c r="G23" s="5"/>
      <c r="H23" s="5"/>
      <c r="I23" s="5"/>
      <c r="J23" s="6"/>
      <c r="K23" s="28"/>
      <c r="L23" s="44"/>
      <c r="M23" s="48"/>
      <c r="N23" s="36"/>
      <c r="O23" s="48"/>
      <c r="P23" s="36"/>
    </row>
    <row r="24" spans="2:20" x14ac:dyDescent="0.25">
      <c r="B24" s="35"/>
      <c r="C24" s="4"/>
      <c r="D24" s="28"/>
      <c r="E24" s="5"/>
      <c r="F24" s="32"/>
      <c r="G24" s="5"/>
      <c r="H24" s="5"/>
      <c r="I24" s="5"/>
      <c r="J24" s="6"/>
      <c r="K24" s="28"/>
      <c r="L24" s="44"/>
      <c r="M24" s="48"/>
      <c r="N24" s="36"/>
      <c r="O24" s="48"/>
      <c r="P24" s="36"/>
    </row>
    <row r="25" spans="2:20" x14ac:dyDescent="0.25">
      <c r="B25" s="35"/>
      <c r="C25" s="4"/>
      <c r="D25" s="28"/>
      <c r="E25" s="5"/>
      <c r="F25" s="32"/>
      <c r="G25" s="5"/>
      <c r="H25" s="5"/>
      <c r="I25" s="5"/>
      <c r="J25" s="6"/>
      <c r="K25" s="28"/>
      <c r="L25" s="44"/>
      <c r="M25" s="48"/>
      <c r="N25" s="36"/>
      <c r="O25" s="48"/>
      <c r="P25" s="36"/>
    </row>
    <row r="26" spans="2:20" x14ac:dyDescent="0.25">
      <c r="B26" s="35"/>
      <c r="C26" s="4"/>
      <c r="D26" s="28"/>
      <c r="E26" s="5"/>
      <c r="F26" s="32"/>
      <c r="G26" s="5"/>
      <c r="H26" s="5"/>
      <c r="I26" s="5"/>
      <c r="J26" s="6"/>
      <c r="K26" s="28"/>
      <c r="L26" s="44"/>
      <c r="M26" s="48"/>
      <c r="N26" s="36"/>
      <c r="O26" s="48"/>
      <c r="P26" s="36"/>
    </row>
    <row r="27" spans="2:20" x14ac:dyDescent="0.25">
      <c r="B27" s="35"/>
      <c r="C27" s="4"/>
      <c r="D27" s="28"/>
      <c r="E27" s="5"/>
      <c r="F27" s="32"/>
      <c r="G27" s="5"/>
      <c r="H27" s="5"/>
      <c r="I27" s="5"/>
      <c r="J27" s="6"/>
      <c r="K27" s="28"/>
      <c r="L27" s="44"/>
      <c r="M27" s="48"/>
      <c r="N27" s="36"/>
      <c r="O27" s="48"/>
      <c r="P27" s="36"/>
    </row>
    <row r="28" spans="2:20" ht="18" customHeight="1" x14ac:dyDescent="0.25">
      <c r="B28" s="319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Briza 12 height 41 cm width 14 cm length 125 cm (Type 3)</v>
      </c>
      <c r="C28" s="320"/>
      <c r="D28" s="319"/>
      <c r="E28" s="321"/>
      <c r="F28" s="320"/>
      <c r="G28" s="320"/>
      <c r="H28" s="320"/>
      <c r="I28" s="320"/>
      <c r="J28" s="320"/>
      <c r="K28" s="319"/>
      <c r="L28" s="320"/>
      <c r="M28" s="320"/>
      <c r="N28" s="321"/>
    </row>
    <row r="29" spans="2:20" x14ac:dyDescent="0.25">
      <c r="B29" s="35"/>
      <c r="C29" s="4"/>
      <c r="D29" s="28"/>
      <c r="E29" s="5"/>
      <c r="F29" s="32"/>
      <c r="G29" s="5"/>
      <c r="H29" s="5"/>
      <c r="I29" s="5"/>
      <c r="J29" s="6"/>
      <c r="K29" s="28"/>
      <c r="L29" s="44"/>
      <c r="M29" s="48"/>
      <c r="N29" s="36"/>
      <c r="O29" s="48"/>
      <c r="P29" s="36"/>
    </row>
    <row r="30" spans="2:20" x14ac:dyDescent="0.25">
      <c r="B30" s="35"/>
      <c r="C30" s="4"/>
      <c r="D30" s="28"/>
      <c r="E30" s="5"/>
      <c r="F30" s="32"/>
      <c r="G30" s="5"/>
      <c r="H30" s="5"/>
      <c r="I30" s="5"/>
      <c r="J30" s="6"/>
      <c r="K30" s="28"/>
      <c r="L30" s="44"/>
      <c r="M30" s="48"/>
      <c r="N30" s="36"/>
      <c r="O30" s="48"/>
      <c r="P30" s="36"/>
    </row>
    <row r="31" spans="2:20" x14ac:dyDescent="0.25">
      <c r="B31" s="35"/>
      <c r="C31" s="4"/>
      <c r="D31" s="28"/>
      <c r="E31" s="5"/>
      <c r="F31" s="32"/>
      <c r="G31" s="5"/>
      <c r="H31" s="5"/>
      <c r="I31" s="5"/>
      <c r="J31" s="6"/>
      <c r="K31" s="28"/>
      <c r="L31" s="44"/>
      <c r="M31" s="48"/>
      <c r="N31" s="36"/>
      <c r="O31" s="48"/>
      <c r="P31" s="36"/>
    </row>
    <row r="32" spans="2:20" x14ac:dyDescent="0.25">
      <c r="B32" s="35"/>
      <c r="C32" s="4"/>
      <c r="D32" s="28"/>
      <c r="E32" s="5"/>
      <c r="F32" s="32"/>
      <c r="G32" s="5"/>
      <c r="H32" s="5"/>
      <c r="I32" s="5"/>
      <c r="J32" s="6"/>
      <c r="K32" s="28"/>
      <c r="L32" s="44"/>
      <c r="M32" s="48"/>
      <c r="N32" s="36"/>
      <c r="O32" s="48"/>
      <c r="P32" s="36"/>
    </row>
    <row r="33" spans="2:16" x14ac:dyDescent="0.25">
      <c r="B33" s="35"/>
      <c r="C33" s="4"/>
      <c r="D33" s="28"/>
      <c r="E33" s="5"/>
      <c r="F33" s="32"/>
      <c r="G33" s="5"/>
      <c r="H33" s="5"/>
      <c r="I33" s="5"/>
      <c r="J33" s="6"/>
      <c r="K33" s="28"/>
      <c r="L33" s="44"/>
      <c r="M33" s="48"/>
      <c r="N33" s="36"/>
      <c r="O33" s="48"/>
      <c r="P33" s="36"/>
    </row>
    <row r="34" spans="2:16" ht="16.899999999999999" customHeight="1" x14ac:dyDescent="0.25">
      <c r="B34" s="319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Briza 12 height 41 cm width 14 cm length 145 cm (Type 4)</v>
      </c>
      <c r="C34" s="320"/>
      <c r="D34" s="319"/>
      <c r="E34" s="321"/>
      <c r="F34" s="320"/>
      <c r="G34" s="320"/>
      <c r="H34" s="320"/>
      <c r="I34" s="320"/>
      <c r="J34" s="320"/>
      <c r="K34" s="319"/>
      <c r="L34" s="320"/>
      <c r="M34" s="320"/>
      <c r="N34" s="321"/>
    </row>
    <row r="35" spans="2:16" x14ac:dyDescent="0.25">
      <c r="B35" s="35"/>
      <c r="C35" s="4"/>
      <c r="D35" s="28"/>
      <c r="E35" s="5"/>
      <c r="F35" s="32"/>
      <c r="G35" s="5"/>
      <c r="H35" s="5"/>
      <c r="I35" s="5"/>
      <c r="J35" s="6"/>
      <c r="K35" s="28"/>
      <c r="L35" s="44"/>
      <c r="M35" s="48"/>
      <c r="N35" s="36"/>
      <c r="O35" s="48"/>
      <c r="P35" s="36"/>
    </row>
    <row r="36" spans="2:16" x14ac:dyDescent="0.25">
      <c r="B36" s="35"/>
      <c r="C36" s="4"/>
      <c r="D36" s="28"/>
      <c r="E36" s="5"/>
      <c r="F36" s="32"/>
      <c r="G36" s="5"/>
      <c r="H36" s="5"/>
      <c r="I36" s="5"/>
      <c r="J36" s="6"/>
      <c r="K36" s="28"/>
      <c r="L36" s="44"/>
      <c r="M36" s="48"/>
      <c r="N36" s="36"/>
      <c r="O36" s="48"/>
      <c r="P36" s="36"/>
    </row>
    <row r="37" spans="2:16" x14ac:dyDescent="0.25">
      <c r="B37" s="35"/>
      <c r="C37" s="4"/>
      <c r="D37" s="28"/>
      <c r="E37" s="5"/>
      <c r="F37" s="32"/>
      <c r="G37" s="5"/>
      <c r="H37" s="5"/>
      <c r="I37" s="5"/>
      <c r="J37" s="6"/>
      <c r="K37" s="28"/>
      <c r="L37" s="44"/>
      <c r="M37" s="48"/>
      <c r="N37" s="36"/>
      <c r="O37" s="48"/>
      <c r="P37" s="36"/>
    </row>
    <row r="38" spans="2:16" x14ac:dyDescent="0.25">
      <c r="B38" s="35"/>
      <c r="C38" s="4"/>
      <c r="D38" s="28"/>
      <c r="E38" s="5"/>
      <c r="F38" s="32"/>
      <c r="G38" s="5"/>
      <c r="H38" s="5"/>
      <c r="I38" s="5"/>
      <c r="J38" s="6"/>
      <c r="K38" s="28"/>
      <c r="L38" s="44"/>
      <c r="M38" s="48"/>
      <c r="N38" s="36"/>
      <c r="O38" s="48"/>
      <c r="P38" s="36"/>
    </row>
    <row r="39" spans="2:16" x14ac:dyDescent="0.25">
      <c r="B39" s="37"/>
      <c r="C39" s="38"/>
      <c r="D39" s="39"/>
      <c r="E39" s="40"/>
      <c r="F39" s="41"/>
      <c r="G39" s="40"/>
      <c r="H39" s="40"/>
      <c r="I39" s="40"/>
      <c r="J39" s="42"/>
      <c r="K39" s="39"/>
      <c r="L39" s="45"/>
      <c r="M39" s="48"/>
      <c r="N39" s="43"/>
      <c r="O39" s="48"/>
      <c r="P39" s="43"/>
    </row>
    <row r="40" spans="2:16" ht="9.4" customHeight="1" x14ac:dyDescent="0.25">
      <c r="B40" s="7" t="s">
        <v>53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49"/>
      <c r="N40" s="47" t="str">
        <f>cal!P40</f>
        <v>v2021-04-26</v>
      </c>
      <c r="O40" s="49"/>
      <c r="P40" s="47"/>
    </row>
    <row r="41" spans="2:16" ht="9.4" customHeight="1" x14ac:dyDescent="0.25">
      <c r="B41" s="7" t="s">
        <v>54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2:16" ht="9.4" customHeight="1" x14ac:dyDescent="0.25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2:16" s="3" customFormat="1" ht="16.149999999999999" hidden="1" customHeight="1" x14ac:dyDescent="0.25"/>
    <row r="44" spans="2:16" x14ac:dyDescent="0.25"/>
    <row r="45" spans="2:16" x14ac:dyDescent="0.25"/>
    <row r="46" spans="2:16" x14ac:dyDescent="0.25"/>
    <row r="47" spans="2:16" x14ac:dyDescent="0.25"/>
    <row r="48" spans="2:16" x14ac:dyDescent="0.25"/>
    <row r="49" x14ac:dyDescent="0.25"/>
  </sheetData>
  <sheetProtection selectLockedCells="1"/>
  <mergeCells count="12">
    <mergeCell ref="B34:N34"/>
    <mergeCell ref="H4:K4"/>
    <mergeCell ref="H5:K5"/>
    <mergeCell ref="B9:D9"/>
    <mergeCell ref="G9:J9"/>
    <mergeCell ref="M9:N9"/>
    <mergeCell ref="B10:D10"/>
    <mergeCell ref="G10:J10"/>
    <mergeCell ref="G11:J11"/>
    <mergeCell ref="B16:N16"/>
    <mergeCell ref="B22:N22"/>
    <mergeCell ref="B28:N28"/>
  </mergeCells>
  <dataValidations count="7">
    <dataValidation type="whole" errorStyle="information" allowBlank="1" showErrorMessage="1" error="Eingabe außerhalb des gültigen Bereichs." prompt="20°C bis 35°C" sqref="K11">
      <formula1>20</formula1>
      <formula2>35</formula2>
    </dataValidation>
    <dataValidation type="whole" errorStyle="information" allowBlank="1" showErrorMessage="1" error="Eingabe außerhalb des gültigen Bereichs." prompt="Eingabe zwischen 16°C bis 30°C" sqref="E11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E10">
      <formula1>E11</formula1>
      <formula2>E9</formula2>
    </dataValidation>
    <dataValidation type="whole" errorStyle="information" allowBlank="1" showErrorMessage="1" error="Temperatur außerhalb des gütligen Bereichs." prompt="Eingabe zwischen 30°C bis 95°C" sqref="E9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K10">
      <formula1>K9</formula1>
      <formula2>K11</formula2>
    </dataValidation>
    <dataValidation type="whole" errorStyle="information" allowBlank="1" showErrorMessage="1" error="Eingabe außerhalb des gültigen Bereichs." prompt="Eingabe zwischen 5°C bis 20°C" sqref="K9">
      <formula1>5</formula1>
      <formula2>20</formula2>
    </dataValidation>
    <dataValidation type="decimal" errorStyle="information" allowBlank="1" showErrorMessage="1" error="Eingabe außerhalb des gültigen Bereichs." prompt="20°C bis 35°C" sqref="K12">
      <formula1>0.01</formula1>
      <formula2>1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3"/>
  <dimension ref="B1:T49"/>
  <sheetViews>
    <sheetView workbookViewId="0">
      <selection activeCell="K2" sqref="K2:L2"/>
    </sheetView>
  </sheetViews>
  <sheetFormatPr defaultColWidth="5.7109375" defaultRowHeight="15" zeroHeight="1" x14ac:dyDescent="0.25"/>
  <cols>
    <col min="1" max="1" width="5.7109375" style="1"/>
    <col min="2" max="2" width="7" style="1" customWidth="1"/>
    <col min="3" max="3" width="6.140625" style="1" customWidth="1"/>
    <col min="4" max="4" width="7" style="1" customWidth="1"/>
    <col min="5" max="5" width="6.7109375" style="1" customWidth="1"/>
    <col min="6" max="16" width="7" style="1" customWidth="1"/>
    <col min="17" max="16384" width="5.7109375" style="1"/>
  </cols>
  <sheetData>
    <row r="1" spans="2:20" x14ac:dyDescent="0.25"/>
    <row r="2" spans="2:20" s="3" customFormat="1" x14ac:dyDescent="0.25">
      <c r="B2" s="22"/>
    </row>
    <row r="3" spans="2:20" s="3" customFormat="1" x14ac:dyDescent="0.25">
      <c r="B3" s="24" t="s">
        <v>19</v>
      </c>
      <c r="C3" s="23"/>
    </row>
    <row r="4" spans="2:20" s="3" customFormat="1" x14ac:dyDescent="0.25">
      <c r="B4" s="22"/>
      <c r="H4" s="326" t="s">
        <v>88</v>
      </c>
      <c r="I4" s="327">
        <v>0</v>
      </c>
      <c r="J4" s="327">
        <v>0</v>
      </c>
      <c r="K4" s="328">
        <v>0</v>
      </c>
    </row>
    <row r="5" spans="2:20" s="3" customFormat="1" x14ac:dyDescent="0.25">
      <c r="B5" s="29" t="s">
        <v>17</v>
      </c>
      <c r="H5" s="326" t="s">
        <v>89</v>
      </c>
      <c r="I5" s="327">
        <v>0</v>
      </c>
      <c r="J5" s="327">
        <v>0</v>
      </c>
      <c r="K5" s="328">
        <v>0</v>
      </c>
    </row>
    <row r="6" spans="2:20" s="3" customFormat="1" ht="6" customHeigh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1"/>
      <c r="P6" s="12"/>
    </row>
    <row r="7" spans="2:20" x14ac:dyDescent="0.25">
      <c r="B7" s="176" t="s">
        <v>12</v>
      </c>
      <c r="C7" s="192"/>
      <c r="D7" s="192"/>
      <c r="E7" s="8"/>
      <c r="F7" s="8"/>
      <c r="G7" s="8"/>
      <c r="H7" s="8"/>
      <c r="I7" s="8"/>
      <c r="J7" s="8"/>
      <c r="K7" s="8"/>
      <c r="L7" s="8"/>
      <c r="M7" s="8"/>
      <c r="N7" s="14"/>
      <c r="O7" s="8"/>
      <c r="P7" s="14"/>
      <c r="Q7" s="1" t="s">
        <v>213</v>
      </c>
    </row>
    <row r="8" spans="2:20" x14ac:dyDescent="0.25">
      <c r="B8" s="176" t="s">
        <v>13</v>
      </c>
      <c r="C8" s="192"/>
      <c r="D8" s="192"/>
      <c r="E8" s="8"/>
      <c r="F8" s="8"/>
      <c r="G8" s="9" t="s">
        <v>14</v>
      </c>
      <c r="H8" s="9"/>
      <c r="I8" s="9"/>
      <c r="J8" s="8"/>
      <c r="K8" s="8"/>
      <c r="L8" s="8"/>
      <c r="M8" s="30"/>
      <c r="N8" s="14"/>
      <c r="O8" s="30"/>
      <c r="P8" s="14"/>
      <c r="Q8" s="1" t="s">
        <v>214</v>
      </c>
    </row>
    <row r="9" spans="2:20" ht="15.75" thickBot="1" x14ac:dyDescent="0.3">
      <c r="B9" s="322" t="s">
        <v>115</v>
      </c>
      <c r="C9" s="323"/>
      <c r="D9" s="323"/>
      <c r="E9" s="98">
        <f>cal!E9</f>
        <v>75</v>
      </c>
      <c r="F9" s="265"/>
      <c r="G9" s="325" t="str">
        <f>B9</f>
        <v>Supply water</v>
      </c>
      <c r="H9" s="325"/>
      <c r="I9" s="325"/>
      <c r="J9" s="325"/>
      <c r="K9" s="98">
        <f>cal!K9</f>
        <v>8</v>
      </c>
      <c r="L9" s="8"/>
      <c r="M9" s="311" t="s">
        <v>106</v>
      </c>
      <c r="N9" s="312"/>
      <c r="O9" s="8"/>
      <c r="P9" s="14"/>
      <c r="Q9" s="1" t="s">
        <v>215</v>
      </c>
    </row>
    <row r="10" spans="2:20" ht="15.75" thickTop="1" x14ac:dyDescent="0.25">
      <c r="B10" s="322" t="s">
        <v>116</v>
      </c>
      <c r="C10" s="323"/>
      <c r="D10" s="323"/>
      <c r="E10" s="98">
        <f>cal!E10</f>
        <v>65</v>
      </c>
      <c r="F10" s="265"/>
      <c r="G10" s="325" t="str">
        <f>B10</f>
        <v>Return water</v>
      </c>
      <c r="H10" s="325"/>
      <c r="I10" s="325"/>
      <c r="J10" s="325"/>
      <c r="K10" s="98">
        <f>cal!K10</f>
        <v>14</v>
      </c>
      <c r="L10" s="8"/>
      <c r="M10" s="8"/>
      <c r="N10" s="14"/>
      <c r="O10" s="8"/>
      <c r="P10" s="14"/>
    </row>
    <row r="11" spans="2:20" x14ac:dyDescent="0.25">
      <c r="B11" s="251" t="s">
        <v>117</v>
      </c>
      <c r="C11" s="252"/>
      <c r="D11" s="252"/>
      <c r="E11" s="98">
        <f>cal!E11</f>
        <v>20</v>
      </c>
      <c r="F11" s="265"/>
      <c r="G11" s="325" t="str">
        <f>B11</f>
        <v>Entering air</v>
      </c>
      <c r="H11" s="325"/>
      <c r="I11" s="325"/>
      <c r="J11" s="325"/>
      <c r="K11" s="98">
        <f>cal!K11</f>
        <v>25</v>
      </c>
      <c r="L11" s="8"/>
      <c r="M11" s="8"/>
      <c r="N11" s="14"/>
      <c r="O11" s="8"/>
      <c r="P11" s="14"/>
    </row>
    <row r="12" spans="2:20" x14ac:dyDescent="0.25">
      <c r="B12" s="15"/>
      <c r="C12" s="8"/>
      <c r="D12" s="8"/>
      <c r="E12" s="8"/>
      <c r="F12" s="8"/>
      <c r="G12" s="192" t="s">
        <v>118</v>
      </c>
      <c r="H12" s="8"/>
      <c r="I12" s="8"/>
      <c r="J12" s="8"/>
      <c r="K12" s="65">
        <f>cal!K12</f>
        <v>0.5</v>
      </c>
      <c r="L12" s="8"/>
      <c r="M12" s="8"/>
      <c r="N12" s="14"/>
      <c r="O12" s="8"/>
      <c r="P12" s="14"/>
    </row>
    <row r="13" spans="2:20" ht="6" customHeight="1" x14ac:dyDescent="0.25">
      <c r="B13" s="16"/>
      <c r="C13" s="17"/>
      <c r="D13" s="17"/>
      <c r="E13" s="17"/>
      <c r="F13" s="18"/>
      <c r="G13" s="18"/>
      <c r="H13" s="18"/>
      <c r="I13" s="18"/>
      <c r="J13" s="18"/>
      <c r="K13" s="18"/>
      <c r="L13" s="18"/>
      <c r="M13" s="18"/>
      <c r="N13" s="19"/>
      <c r="O13" s="18"/>
      <c r="P13" s="19"/>
    </row>
    <row r="14" spans="2:20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</row>
    <row r="15" spans="2:20" s="2" customFormat="1" ht="95.45" customHeight="1" x14ac:dyDescent="0.25">
      <c r="B15" s="27" t="s">
        <v>185</v>
      </c>
      <c r="C15" s="20" t="s">
        <v>15</v>
      </c>
      <c r="D15" s="27" t="str">
        <f>CONCATENATE("Heat output  ",ROUND(E9,0),"/",ROUND(E10,0),"/",ROUND(E11,0)," ["&amp;IF(cal!$W$4=1,"W",IF(cal!$W$4=2,"Btu/h"))&amp;"]")</f>
        <v>Heat output  75/65/20 [W]</v>
      </c>
      <c r="E15" s="31" t="str">
        <f>"Water flowrate, heating ["&amp;IF(cal!$W$4=1,"l/h",IF(cal!$W$4=2,"GPM"))&amp;"]"</f>
        <v>Water flowrate, heating [l/h]</v>
      </c>
      <c r="F15" s="34" t="str">
        <f>"Watersided pressure loss ["&amp;IF(cal!$W$4=1,"kPa",IF(cal!$W$4=2,"inH2O"))&amp;"]"</f>
        <v>Watersided pressure loss [kPa]</v>
      </c>
      <c r="G15" s="20" t="str">
        <f>CONCATENATE("Sens. cooling capacity  ",ROUND(K9,0),"/",ROUND(K10,0),"/",ROUND(K11,0)," ["&amp;IF(cal!$W$4=1,"W",IF(cal!$W$4=2,"Btu/h"))&amp;"]")</f>
        <v>Sens. cooling capacity  8/14/25 [W]</v>
      </c>
      <c r="H15" s="20" t="str">
        <f>CONCATENATE("Tot. cooling capacity ",ROUND(K9,0),"/",ROUND(K10,0),"/",ROUND(K11,0)," ["&amp;IF(cal!$W$4=1,"W",IF(cal!$W$4=2,"Btu/h"))&amp;"]")</f>
        <v>Tot. cooling capacity 8/14/25 [W]</v>
      </c>
      <c r="I15" s="20" t="str">
        <f>"Water flowrate, cooling ["&amp;IF(cal!$W$4=1,"l/h",IF(cal!$W$4=2,"GPM"))&amp;"]"</f>
        <v>Water flowrate, cooling [l/h]</v>
      </c>
      <c r="J15" s="21" t="str">
        <f>"Watersided pressure loss ["&amp;IF(cal!$W$4=1,"kPa",IF(cal!$W$4=2,"inH2O"))&amp;"]"</f>
        <v>Watersided pressure loss [kPa]</v>
      </c>
      <c r="K15" s="27" t="s">
        <v>47</v>
      </c>
      <c r="L15" s="33" t="s">
        <v>48</v>
      </c>
      <c r="M15" s="20" t="s">
        <v>16</v>
      </c>
      <c r="N15" s="26" t="str">
        <f>"Air flowrate ["&amp;IF(cal!$W$4=1,"m³/h",IF(cal!$W$4=2,"CFM"))&amp;"]"</f>
        <v>Air flowrate [m³/h]</v>
      </c>
      <c r="O15" s="20" t="str">
        <f>"Air exhaust temp. heating  ["&amp;IF(cal!$W$4=1,"°C",IF(cal!$W$4=2,"°F"))&amp;"]"</f>
        <v>Air exhaust temp. heating  [°C]</v>
      </c>
      <c r="P15" s="20" t="str">
        <f>"Air exhaust temp. cooling  ["&amp;IF(cal!$W$4=1,"°C",IF(cal!$W$4=2,"°F"))&amp;"]"</f>
        <v>Air exhaust temp. cooling  [°C]</v>
      </c>
    </row>
    <row r="16" spans="2:20" ht="18" customHeight="1" x14ac:dyDescent="0.25">
      <c r="B16" s="319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1)"</f>
        <v>Briza 12 height 41 cm width 14 cm length 75 cm (Type 1)</v>
      </c>
      <c r="C16" s="320"/>
      <c r="D16" s="319"/>
      <c r="E16" s="321"/>
      <c r="F16" s="320"/>
      <c r="G16" s="320"/>
      <c r="H16" s="320"/>
      <c r="I16" s="320"/>
      <c r="J16" s="320"/>
      <c r="K16" s="319"/>
      <c r="L16" s="320"/>
      <c r="M16" s="320"/>
      <c r="N16" s="321"/>
      <c r="R16" s="1" t="s">
        <v>93</v>
      </c>
      <c r="T16" s="197" t="s">
        <v>119</v>
      </c>
    </row>
    <row r="17" spans="2:20" x14ac:dyDescent="0.25">
      <c r="B17" s="35"/>
      <c r="C17" s="4"/>
      <c r="D17" s="28"/>
      <c r="E17" s="5"/>
      <c r="F17" s="32"/>
      <c r="G17" s="5"/>
      <c r="H17" s="5"/>
      <c r="I17" s="5"/>
      <c r="J17" s="6"/>
      <c r="K17" s="28"/>
      <c r="L17" s="44"/>
      <c r="M17" s="48"/>
      <c r="N17" s="36"/>
      <c r="O17" s="48"/>
      <c r="P17" s="36"/>
      <c r="R17" s="1" t="s">
        <v>96</v>
      </c>
      <c r="T17" s="197" t="s">
        <v>120</v>
      </c>
    </row>
    <row r="18" spans="2:20" x14ac:dyDescent="0.25">
      <c r="B18" s="35"/>
      <c r="C18" s="4"/>
      <c r="D18" s="28"/>
      <c r="E18" s="5"/>
      <c r="F18" s="32"/>
      <c r="G18" s="5"/>
      <c r="H18" s="5"/>
      <c r="I18" s="5"/>
      <c r="J18" s="6"/>
      <c r="K18" s="28"/>
      <c r="L18" s="44"/>
      <c r="M18" s="48"/>
      <c r="N18" s="36"/>
      <c r="O18" s="48"/>
      <c r="P18" s="36"/>
      <c r="R18" s="1" t="s">
        <v>97</v>
      </c>
      <c r="T18" s="197" t="s">
        <v>121</v>
      </c>
    </row>
    <row r="19" spans="2:20" x14ac:dyDescent="0.25">
      <c r="B19" s="35"/>
      <c r="C19" s="4"/>
      <c r="D19" s="28"/>
      <c r="E19" s="5"/>
      <c r="F19" s="32"/>
      <c r="G19" s="5"/>
      <c r="H19" s="5"/>
      <c r="I19" s="5"/>
      <c r="J19" s="6"/>
      <c r="K19" s="28"/>
      <c r="L19" s="44"/>
      <c r="M19" s="48"/>
      <c r="N19" s="36"/>
      <c r="O19" s="48"/>
      <c r="P19" s="36"/>
    </row>
    <row r="20" spans="2:20" x14ac:dyDescent="0.25">
      <c r="B20" s="35"/>
      <c r="C20" s="4"/>
      <c r="D20" s="28"/>
      <c r="E20" s="5"/>
      <c r="F20" s="32"/>
      <c r="G20" s="5"/>
      <c r="H20" s="5"/>
      <c r="I20" s="5"/>
      <c r="J20" s="6"/>
      <c r="K20" s="28"/>
      <c r="L20" s="44"/>
      <c r="M20" s="48"/>
      <c r="N20" s="36"/>
      <c r="O20" s="48"/>
      <c r="P20" s="36"/>
    </row>
    <row r="21" spans="2:20" x14ac:dyDescent="0.25">
      <c r="B21" s="35"/>
      <c r="C21" s="4"/>
      <c r="D21" s="28"/>
      <c r="E21" s="5"/>
      <c r="F21" s="32"/>
      <c r="G21" s="5"/>
      <c r="H21" s="5"/>
      <c r="I21" s="5"/>
      <c r="J21" s="6"/>
      <c r="K21" s="28"/>
      <c r="L21" s="44"/>
      <c r="M21" s="48"/>
      <c r="N21" s="36"/>
      <c r="O21" s="48"/>
      <c r="P21" s="36"/>
    </row>
    <row r="22" spans="2:20" ht="16.899999999999999" customHeight="1" x14ac:dyDescent="0.25">
      <c r="B22" s="319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2)"</f>
        <v>Briza 12 height 41 cm width 14 cm length 95 cm (Type 2)</v>
      </c>
      <c r="C22" s="320"/>
      <c r="D22" s="319"/>
      <c r="E22" s="321"/>
      <c r="F22" s="320"/>
      <c r="G22" s="320"/>
      <c r="H22" s="320"/>
      <c r="I22" s="320"/>
      <c r="J22" s="320"/>
      <c r="K22" s="319"/>
      <c r="L22" s="320"/>
      <c r="M22" s="320"/>
      <c r="N22" s="321"/>
    </row>
    <row r="23" spans="2:20" x14ac:dyDescent="0.25">
      <c r="B23" s="35"/>
      <c r="C23" s="4"/>
      <c r="D23" s="28"/>
      <c r="E23" s="5"/>
      <c r="F23" s="32"/>
      <c r="G23" s="5"/>
      <c r="H23" s="5"/>
      <c r="I23" s="5"/>
      <c r="J23" s="6"/>
      <c r="K23" s="28"/>
      <c r="L23" s="44"/>
      <c r="M23" s="48"/>
      <c r="N23" s="36"/>
      <c r="O23" s="48"/>
      <c r="P23" s="36"/>
    </row>
    <row r="24" spans="2:20" x14ac:dyDescent="0.25">
      <c r="B24" s="35"/>
      <c r="C24" s="4"/>
      <c r="D24" s="28"/>
      <c r="E24" s="5"/>
      <c r="F24" s="32"/>
      <c r="G24" s="5"/>
      <c r="H24" s="5"/>
      <c r="I24" s="5"/>
      <c r="J24" s="6"/>
      <c r="K24" s="28"/>
      <c r="L24" s="44"/>
      <c r="M24" s="48"/>
      <c r="N24" s="36"/>
      <c r="O24" s="48"/>
      <c r="P24" s="36"/>
    </row>
    <row r="25" spans="2:20" x14ac:dyDescent="0.25">
      <c r="B25" s="35"/>
      <c r="C25" s="4"/>
      <c r="D25" s="28"/>
      <c r="E25" s="5"/>
      <c r="F25" s="32"/>
      <c r="G25" s="5"/>
      <c r="H25" s="5"/>
      <c r="I25" s="5"/>
      <c r="J25" s="6"/>
      <c r="K25" s="28"/>
      <c r="L25" s="44"/>
      <c r="M25" s="48"/>
      <c r="N25" s="36"/>
      <c r="O25" s="48"/>
      <c r="P25" s="36"/>
    </row>
    <row r="26" spans="2:20" x14ac:dyDescent="0.25">
      <c r="B26" s="35"/>
      <c r="C26" s="4"/>
      <c r="D26" s="28"/>
      <c r="E26" s="5"/>
      <c r="F26" s="32"/>
      <c r="G26" s="5"/>
      <c r="H26" s="5"/>
      <c r="I26" s="5"/>
      <c r="J26" s="6"/>
      <c r="K26" s="28"/>
      <c r="L26" s="44"/>
      <c r="M26" s="48"/>
      <c r="N26" s="36"/>
      <c r="O26" s="48"/>
      <c r="P26" s="36"/>
    </row>
    <row r="27" spans="2:20" x14ac:dyDescent="0.25">
      <c r="B27" s="35"/>
      <c r="C27" s="4"/>
      <c r="D27" s="28"/>
      <c r="E27" s="5"/>
      <c r="F27" s="32"/>
      <c r="G27" s="5"/>
      <c r="H27" s="5"/>
      <c r="I27" s="5"/>
      <c r="J27" s="6"/>
      <c r="K27" s="28"/>
      <c r="L27" s="44"/>
      <c r="M27" s="48"/>
      <c r="N27" s="36"/>
      <c r="O27" s="48"/>
      <c r="P27" s="36"/>
    </row>
    <row r="28" spans="2:20" ht="18" customHeight="1" x14ac:dyDescent="0.25">
      <c r="B28" s="319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Briza 12 height 41 cm width 14 cm length 125 cm (Type 3)</v>
      </c>
      <c r="C28" s="320"/>
      <c r="D28" s="319"/>
      <c r="E28" s="321"/>
      <c r="F28" s="320"/>
      <c r="G28" s="320"/>
      <c r="H28" s="320"/>
      <c r="I28" s="320"/>
      <c r="J28" s="320"/>
      <c r="K28" s="319"/>
      <c r="L28" s="320"/>
      <c r="M28" s="320"/>
      <c r="N28" s="321"/>
    </row>
    <row r="29" spans="2:20" x14ac:dyDescent="0.25">
      <c r="B29" s="35"/>
      <c r="C29" s="4"/>
      <c r="D29" s="28"/>
      <c r="E29" s="5"/>
      <c r="F29" s="32"/>
      <c r="G29" s="5"/>
      <c r="H29" s="5"/>
      <c r="I29" s="5"/>
      <c r="J29" s="6"/>
      <c r="K29" s="28"/>
      <c r="L29" s="44"/>
      <c r="M29" s="48"/>
      <c r="N29" s="36"/>
      <c r="O29" s="48"/>
      <c r="P29" s="36"/>
    </row>
    <row r="30" spans="2:20" x14ac:dyDescent="0.25">
      <c r="B30" s="35"/>
      <c r="C30" s="4"/>
      <c r="D30" s="28"/>
      <c r="E30" s="5"/>
      <c r="F30" s="32"/>
      <c r="G30" s="5"/>
      <c r="H30" s="5"/>
      <c r="I30" s="5"/>
      <c r="J30" s="6"/>
      <c r="K30" s="28"/>
      <c r="L30" s="44"/>
      <c r="M30" s="48"/>
      <c r="N30" s="36"/>
      <c r="O30" s="48"/>
      <c r="P30" s="36"/>
    </row>
    <row r="31" spans="2:20" x14ac:dyDescent="0.25">
      <c r="B31" s="35"/>
      <c r="C31" s="4"/>
      <c r="D31" s="28"/>
      <c r="E31" s="5"/>
      <c r="F31" s="32"/>
      <c r="G31" s="5"/>
      <c r="H31" s="5"/>
      <c r="I31" s="5"/>
      <c r="J31" s="6"/>
      <c r="K31" s="28"/>
      <c r="L31" s="44"/>
      <c r="M31" s="48"/>
      <c r="N31" s="36"/>
      <c r="O31" s="48"/>
      <c r="P31" s="36"/>
    </row>
    <row r="32" spans="2:20" x14ac:dyDescent="0.25">
      <c r="B32" s="35"/>
      <c r="C32" s="4"/>
      <c r="D32" s="28"/>
      <c r="E32" s="5"/>
      <c r="F32" s="32"/>
      <c r="G32" s="5"/>
      <c r="H32" s="5"/>
      <c r="I32" s="5"/>
      <c r="J32" s="6"/>
      <c r="K32" s="28"/>
      <c r="L32" s="44"/>
      <c r="M32" s="48"/>
      <c r="N32" s="36"/>
      <c r="O32" s="48"/>
      <c r="P32" s="36"/>
    </row>
    <row r="33" spans="2:16" x14ac:dyDescent="0.25">
      <c r="B33" s="35"/>
      <c r="C33" s="4"/>
      <c r="D33" s="28"/>
      <c r="E33" s="5"/>
      <c r="F33" s="32"/>
      <c r="G33" s="5"/>
      <c r="H33" s="5"/>
      <c r="I33" s="5"/>
      <c r="J33" s="6"/>
      <c r="K33" s="28"/>
      <c r="L33" s="44"/>
      <c r="M33" s="48"/>
      <c r="N33" s="36"/>
      <c r="O33" s="48"/>
      <c r="P33" s="36"/>
    </row>
    <row r="34" spans="2:16" ht="16.899999999999999" customHeight="1" x14ac:dyDescent="0.25">
      <c r="B34" s="319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Briza 12 height 41 cm width 14 cm length 145 cm (Type 4)</v>
      </c>
      <c r="C34" s="320"/>
      <c r="D34" s="319"/>
      <c r="E34" s="321"/>
      <c r="F34" s="320"/>
      <c r="G34" s="320"/>
      <c r="H34" s="320"/>
      <c r="I34" s="320"/>
      <c r="J34" s="320"/>
      <c r="K34" s="319"/>
      <c r="L34" s="320"/>
      <c r="M34" s="320"/>
      <c r="N34" s="321"/>
    </row>
    <row r="35" spans="2:16" x14ac:dyDescent="0.25">
      <c r="B35" s="35"/>
      <c r="C35" s="4"/>
      <c r="D35" s="28"/>
      <c r="E35" s="5"/>
      <c r="F35" s="32"/>
      <c r="G35" s="5"/>
      <c r="H35" s="5"/>
      <c r="I35" s="5"/>
      <c r="J35" s="6"/>
      <c r="K35" s="28"/>
      <c r="L35" s="44"/>
      <c r="M35" s="48"/>
      <c r="N35" s="36"/>
      <c r="O35" s="48"/>
      <c r="P35" s="36"/>
    </row>
    <row r="36" spans="2:16" x14ac:dyDescent="0.25">
      <c r="B36" s="35"/>
      <c r="C36" s="4"/>
      <c r="D36" s="28"/>
      <c r="E36" s="5"/>
      <c r="F36" s="32"/>
      <c r="G36" s="5"/>
      <c r="H36" s="5"/>
      <c r="I36" s="5"/>
      <c r="J36" s="6"/>
      <c r="K36" s="28"/>
      <c r="L36" s="44"/>
      <c r="M36" s="48"/>
      <c r="N36" s="36"/>
      <c r="O36" s="48"/>
      <c r="P36" s="36"/>
    </row>
    <row r="37" spans="2:16" x14ac:dyDescent="0.25">
      <c r="B37" s="35"/>
      <c r="C37" s="4"/>
      <c r="D37" s="28"/>
      <c r="E37" s="5"/>
      <c r="F37" s="32"/>
      <c r="G37" s="5"/>
      <c r="H37" s="5"/>
      <c r="I37" s="5"/>
      <c r="J37" s="6"/>
      <c r="K37" s="28"/>
      <c r="L37" s="44"/>
      <c r="M37" s="48"/>
      <c r="N37" s="36"/>
      <c r="O37" s="48"/>
      <c r="P37" s="36"/>
    </row>
    <row r="38" spans="2:16" x14ac:dyDescent="0.25">
      <c r="B38" s="35"/>
      <c r="C38" s="4"/>
      <c r="D38" s="28"/>
      <c r="E38" s="5"/>
      <c r="F38" s="32"/>
      <c r="G38" s="5"/>
      <c r="H38" s="5"/>
      <c r="I38" s="5"/>
      <c r="J38" s="6"/>
      <c r="K38" s="28"/>
      <c r="L38" s="44"/>
      <c r="M38" s="48"/>
      <c r="N38" s="36"/>
      <c r="O38" s="48"/>
      <c r="P38" s="36"/>
    </row>
    <row r="39" spans="2:16" x14ac:dyDescent="0.25">
      <c r="B39" s="37"/>
      <c r="C39" s="38"/>
      <c r="D39" s="39"/>
      <c r="E39" s="40"/>
      <c r="F39" s="41"/>
      <c r="G39" s="40"/>
      <c r="H39" s="40"/>
      <c r="I39" s="40"/>
      <c r="J39" s="42"/>
      <c r="K39" s="39"/>
      <c r="L39" s="45"/>
      <c r="M39" s="48"/>
      <c r="N39" s="43"/>
      <c r="O39" s="48"/>
      <c r="P39" s="43"/>
    </row>
    <row r="40" spans="2:16" ht="9.4" customHeight="1" x14ac:dyDescent="0.25">
      <c r="B40" s="7" t="s">
        <v>53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49"/>
      <c r="N40" s="47" t="str">
        <f>cal!P40</f>
        <v>v2021-04-26</v>
      </c>
      <c r="O40" s="49"/>
      <c r="P40" s="47"/>
    </row>
    <row r="41" spans="2:16" ht="9.4" customHeight="1" x14ac:dyDescent="0.25">
      <c r="B41" s="7" t="s">
        <v>54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2:16" ht="9.4" customHeight="1" x14ac:dyDescent="0.25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2:16" s="3" customFormat="1" ht="16.149999999999999" hidden="1" customHeight="1" x14ac:dyDescent="0.25"/>
    <row r="44" spans="2:16" x14ac:dyDescent="0.25"/>
    <row r="45" spans="2:16" x14ac:dyDescent="0.25"/>
    <row r="46" spans="2:16" x14ac:dyDescent="0.25"/>
    <row r="47" spans="2:16" x14ac:dyDescent="0.25"/>
    <row r="48" spans="2:16" x14ac:dyDescent="0.25"/>
    <row r="49" x14ac:dyDescent="0.25"/>
  </sheetData>
  <sheetProtection selectLockedCells="1"/>
  <mergeCells count="12">
    <mergeCell ref="B34:N34"/>
    <mergeCell ref="H4:K4"/>
    <mergeCell ref="H5:K5"/>
    <mergeCell ref="B9:D9"/>
    <mergeCell ref="G9:J9"/>
    <mergeCell ref="M9:N9"/>
    <mergeCell ref="B10:D10"/>
    <mergeCell ref="G10:J10"/>
    <mergeCell ref="G11:J11"/>
    <mergeCell ref="B16:N16"/>
    <mergeCell ref="B22:N22"/>
    <mergeCell ref="B28:N28"/>
  </mergeCells>
  <dataValidations count="7">
    <dataValidation type="decimal" errorStyle="information" allowBlank="1" showErrorMessage="1" error="Eingabe außerhalb des gültigen Bereichs." prompt="20°C bis 35°C" sqref="K12">
      <formula1>0.01</formula1>
      <formula2>1</formula2>
    </dataValidation>
    <dataValidation type="whole" errorStyle="information" allowBlank="1" showErrorMessage="1" error="Eingabe außerhalb des gültigen Bereichs." prompt="Eingabe zwischen 5°C bis 20°C" sqref="K9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K10">
      <formula1>K9</formula1>
      <formula2>K11</formula2>
    </dataValidation>
    <dataValidation type="whole" errorStyle="information" allowBlank="1" showErrorMessage="1" error="Temperatur außerhalb des gütligen Bereichs." prompt="Eingabe zwischen 30°C bis 95°C" sqref="E9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E10">
      <formula1>E11</formula1>
      <formula2>E9</formula2>
    </dataValidation>
    <dataValidation type="whole" errorStyle="information" allowBlank="1" showErrorMessage="1" error="Eingabe außerhalb des gültigen Bereichs." prompt="Eingabe zwischen 16°C bis 30°C" sqref="E11">
      <formula1>16</formula1>
      <formula2>30</formula2>
    </dataValidation>
    <dataValidation type="whole" errorStyle="information" allowBlank="1" showErrorMessage="1" error="Eingabe außerhalb des gültigen Bereichs." prompt="20°C bis 35°C" sqref="K11">
      <formula1>20</formula1>
      <formula2>35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B1:CH50"/>
  <sheetViews>
    <sheetView zoomScaleNormal="100" workbookViewId="0">
      <selection activeCell="K2" sqref="K2:L2"/>
    </sheetView>
  </sheetViews>
  <sheetFormatPr defaultColWidth="0.140625" defaultRowHeight="0" customHeight="1" zeroHeight="1" x14ac:dyDescent="0.25"/>
  <cols>
    <col min="1" max="1" width="2" style="86" customWidth="1"/>
    <col min="2" max="2" width="7" style="86" customWidth="1"/>
    <col min="3" max="3" width="6.140625" style="86" customWidth="1"/>
    <col min="4" max="4" width="7.28515625" style="86" customWidth="1"/>
    <col min="5" max="5" width="7.140625" style="86" customWidth="1"/>
    <col min="6" max="6" width="7.5703125" style="86" customWidth="1"/>
    <col min="7" max="7" width="9.42578125" style="86" customWidth="1"/>
    <col min="8" max="8" width="8.5703125" style="86" customWidth="1"/>
    <col min="9" max="9" width="7.7109375" style="86" customWidth="1"/>
    <col min="10" max="10" width="7" style="86" customWidth="1"/>
    <col min="11" max="11" width="7.85546875" style="86" customWidth="1"/>
    <col min="12" max="12" width="8.140625" style="86" customWidth="1"/>
    <col min="13" max="13" width="7.7109375" style="86" customWidth="1"/>
    <col min="14" max="16" width="7" style="86" customWidth="1"/>
    <col min="17" max="17" width="2" style="86" customWidth="1"/>
    <col min="18" max="18" width="1.7109375" style="86" customWidth="1"/>
    <col min="19" max="19" width="7.7109375" style="86" customWidth="1"/>
    <col min="20" max="22" width="1.7109375" style="86" customWidth="1"/>
    <col min="23" max="23" width="5.5703125" style="86" customWidth="1"/>
    <col min="24" max="24" width="11.28515625" style="86" bestFit="1" customWidth="1"/>
    <col min="25" max="25" width="7.42578125" style="86" bestFit="1" customWidth="1"/>
    <col min="26" max="26" width="6.28515625" style="86" customWidth="1"/>
    <col min="27" max="27" width="6" style="86" customWidth="1"/>
    <col min="28" max="29" width="5.5703125" style="86" customWidth="1"/>
    <col min="30" max="86" width="4.7109375" style="86" customWidth="1"/>
    <col min="87" max="16384" width="0.140625" style="86"/>
  </cols>
  <sheetData>
    <row r="1" spans="2:86" ht="15" customHeight="1" x14ac:dyDescent="0.25">
      <c r="E1" s="51" t="s">
        <v>75</v>
      </c>
      <c r="F1" s="51" t="s">
        <v>74</v>
      </c>
      <c r="G1" s="51" t="s">
        <v>76</v>
      </c>
      <c r="H1" s="51" t="s">
        <v>73</v>
      </c>
      <c r="I1" s="51" t="s">
        <v>72</v>
      </c>
      <c r="J1" s="51" t="s">
        <v>104</v>
      </c>
      <c r="K1" s="86" t="s">
        <v>155</v>
      </c>
      <c r="L1" s="53" t="s">
        <v>156</v>
      </c>
      <c r="M1" s="53" t="s">
        <v>157</v>
      </c>
      <c r="N1" s="53" t="s">
        <v>158</v>
      </c>
      <c r="O1" s="53" t="s">
        <v>159</v>
      </c>
      <c r="X1" s="86" t="s">
        <v>65</v>
      </c>
    </row>
    <row r="2" spans="2:86" s="51" customFormat="1" ht="15" customHeight="1" x14ac:dyDescent="0.25">
      <c r="B2" s="52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W2" s="92"/>
      <c r="X2" s="92" t="s">
        <v>66</v>
      </c>
    </row>
    <row r="3" spans="2:86" s="51" customFormat="1" ht="15" x14ac:dyDescent="0.25">
      <c r="B3" s="54" t="str">
        <f>IF($S$7=1,NL!B3,IF(cal!$S$7=2,EN!B3,IF(cal!$S$7=3,DE!B3,IF(cal!$S$7=4,FR!B3,IF(cal!$S$7=5,NR!B3,IF(cal!$S$7=6,SP!B3,IF(cal!$S$7=7,SW!B3,IF(cal!$S$7=8,TS!B3,IF(cal!$S$7=9,ExtraTaal1!B3,IF(cal!$S$7=10,ExtraTaal2!B3,IF(cal!$S$7=11,ExtraTaal3!B3,)))))))))))</f>
        <v>Invulformulier</v>
      </c>
      <c r="C3" s="55"/>
      <c r="D3" s="53"/>
      <c r="E3" s="53"/>
      <c r="F3" s="53"/>
      <c r="G3" s="304"/>
      <c r="H3" s="304"/>
      <c r="I3" s="304"/>
      <c r="J3" s="304"/>
      <c r="K3" s="53"/>
      <c r="L3" s="53"/>
      <c r="M3" s="53"/>
      <c r="N3" s="53"/>
      <c r="O3" s="53"/>
      <c r="P3" s="53"/>
      <c r="Q3" s="53"/>
      <c r="W3" s="92"/>
      <c r="X3" s="92" t="s">
        <v>67</v>
      </c>
      <c r="Z3" s="53" t="str">
        <f>IF($S$7=1,NL!R16,IF(cal!$S$7=2,EN!R16,IF(cal!$S$7=3,DE!R16,IF(cal!$S$7=4,FR!R16,IF(cal!$S$7=5,NR!R16,IF(cal!$S$7=6,SP!R16,IF(cal!$S$7=7,SW!R16,IF(cal!$S$7=8,TS!R16,IF(cal!$S$7=9,ExtraTaal1!R16,IF(cal!$S$7=10,ExtraTaal2!R16,IF(cal!$S$7=11,ExtraTaal3!R16,)))))))))))</f>
        <v>Temp.</v>
      </c>
      <c r="AA3" s="53" t="str">
        <f>IF($S$7=1,NL!Q7,IF(cal!$S$7=2,EN!Q7,IF(cal!$S$7=3,DE!Q7,IF(cal!$S$7=4,FR!Q7,IF(cal!$S$7=5,NR!Q7,IF(cal!$S$7=6,SP!Q7,IF(cal!$S$7=7,SW!Q7,IF(cal!$S$7=8,TS!Q7,IF(cal!$S$7=9,ExtraTaal1!Q7,IF(cal!$S$7=10,ExtraTaal2!Q7,IF(cal!$S$7=11,ExtraTaal3!Q7,)))))))))))</f>
        <v>Kopieer alle data</v>
      </c>
    </row>
    <row r="4" spans="2:86" s="51" customFormat="1" ht="15" x14ac:dyDescent="0.25">
      <c r="B4" s="52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W4" s="102">
        <v>1</v>
      </c>
      <c r="X4" s="92" t="s">
        <v>31</v>
      </c>
      <c r="Z4" s="53" t="str">
        <f>IF($S$7=1,NL!R17,IF(cal!$S$7=2,EN!R17,IF(cal!$S$7=3,DE!R17,IF(cal!$S$7=4,FR!R17,IF(cal!$S$7=5,NR!R17,IF(cal!$S$7=6,SP!R17,IF(cal!$S$7=7,SW!R17,IF(cal!$S$7=8,TS!R17,IF(cal!$S$7=9,ExtraTaal1!R17,IF(cal!$S$7=10,ExtraTaal2!R17,IF(cal!$S$7=11,ExtraTaal3!R17,)))))))))))</f>
        <v>verw.!</v>
      </c>
      <c r="AA4" s="53" t="str">
        <f>IF($S$7=1,NL!Q8,IF(cal!$S$7=2,EN!Q8,IF(cal!$S$7=3,DE!Q8,IF(cal!$S$7=4,FR!Q8,IF(cal!$S$7=5,NR!Q8,IF(cal!$S$7=6,SP!Q8,IF(cal!$S$7=7,SW!Q8,IF(cal!$S$7=8,TS!Q8,IF(cal!$S$7=9,ExtraTaal1!Q8,IF(cal!$S$7=10,ExtraTaal2!Q8,IF(cal!$S$7=11,ExtraTaal3!Q8,)))))))))))</f>
        <v>SI-eenheden</v>
      </c>
    </row>
    <row r="5" spans="2:86" s="51" customFormat="1" ht="15" x14ac:dyDescent="0.25">
      <c r="B5" s="56" t="str">
        <f>IF($S$7=1,NL!B5,IF(cal!$S$7=2,EN!B5,IF(cal!$S$7=3,DE!B5,IF(cal!$S$7=4,FR!B5,IF(cal!$S$7=5,NR!B5,IF(cal!$S$7=6,SP!B5,IF(cal!$S$7=7,SW!B5,IF(cal!$S$7=8,TS!B5,IF(cal!$S$7=9,ExtraTaal1!B5,IF(cal!$S$7=10,ExtraTaal2!B5,IF(cal!$S$7=11,ExtraTaal3!B5,)))))))))))</f>
        <v>Randvoorwaarden</v>
      </c>
      <c r="C5" s="53"/>
      <c r="D5" s="53"/>
      <c r="E5" s="53"/>
      <c r="F5" s="53"/>
      <c r="G5" s="304"/>
      <c r="H5" s="304"/>
      <c r="I5" s="304"/>
      <c r="J5" s="304"/>
      <c r="K5" s="53"/>
      <c r="L5" s="53"/>
      <c r="M5" s="53"/>
      <c r="N5" s="53"/>
      <c r="O5" s="53"/>
      <c r="P5" s="53"/>
      <c r="Q5" s="53"/>
      <c r="W5" s="92"/>
      <c r="X5" s="92" t="s">
        <v>32</v>
      </c>
      <c r="Z5" s="53" t="str">
        <f>IF($S$7=1,NL!R18,IF(cal!$S$7=2,EN!R18,IF(cal!$S$7=3,DE!R18,IF(cal!$S$7=4,FR!R18,IF(cal!$S$7=5,NR!R18,IF(cal!$S$7=6,SP!R18,IF(cal!$S$7=7,SW!R18,IF(cal!$S$7=8,TS!R18,IF(cal!$S$7=9,ExtraTaal1!R18,IF(cal!$S$7=10,ExtraTaal2!R18,IF(cal!$S$7=11,ExtraTaal3!R18,)))))))))))</f>
        <v>koelen!</v>
      </c>
      <c r="AA5" s="53" t="str">
        <f>IF($S$7=1,NL!Q9,IF(cal!$S$7=2,EN!Q9,IF(cal!$S$7=3,DE!Q9,IF(cal!$S$7=4,FR!Q9,IF(cal!$S$7=5,NR!Q9,IF(cal!$S$7=6,SP!Q9,IF(cal!$S$7=7,SW!Q9,IF(cal!$S$7=8,TS!Q9,IF(cal!$S$7=9,ExtraTaal1!Q9,IF(cal!$S$7=10,ExtraTaal2!Q9,IF(cal!$S$7=11,ExtraTaal3!Q9,)))))))))))</f>
        <v>Imperiale-eenheden</v>
      </c>
    </row>
    <row r="6" spans="2:86" s="51" customFormat="1" ht="6" customHeight="1" thickBot="1" x14ac:dyDescent="0.3">
      <c r="B6" s="57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164"/>
      <c r="P6" s="165"/>
      <c r="Q6" s="53"/>
      <c r="W6" s="92"/>
      <c r="X6" s="92" t="s">
        <v>68</v>
      </c>
    </row>
    <row r="7" spans="2:86" ht="15.75" thickBot="1" x14ac:dyDescent="0.3">
      <c r="B7" s="59" t="str">
        <f>IF($S$7=1,NL!B7,IF(cal!$S$7=2,EN!B7,IF(cal!$S$7=3,DE!B7,IF(cal!$S$7=4,FR!B7,IF(cal!$S$7=5,NR!B7,IF(cal!$S$7=6,SP!B7,IF(cal!$S$7=7,SW!B7,IF(cal!$S$7=8,TS!B7,IF(cal!$S$7=9,ExtraTaal1!B7,IF(cal!$S$7=10,ExtraTaal2!B7,IF(cal!$S$7=11,ExtraTaal3!B7,)))))))))))</f>
        <v>Temperaturen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307" t="str">
        <f>IF($S$7=8,"Výška umístění","h_atm")</f>
        <v>h_atm</v>
      </c>
      <c r="N7" s="308"/>
      <c r="O7" s="162"/>
      <c r="P7" s="166"/>
      <c r="Q7" s="61"/>
      <c r="S7" s="250">
        <f>IF('Briza 12'!$K$2=cal!$E$1,1,IF('Briza 12'!$K$2=cal!$F$1,2,IF('Briza 12'!$K$2=cal!G1,3,IF('Briza 12'!$K$2=cal!H1,4,IF('Briza 12'!$K$2=cal!I1,5,IF('Briza 12'!$K$2=cal!J1,6,IF('Briza 12'!$K$2=cal!K1,7,IF('Briza 12'!$K$2=cal!L1,8,IF('Briza 12'!$K$2=cal!M1,9,IF('Briza 12'!$K$2=cal!N1,10,IF('Briza 12'!$K$2=cal!O1,11,)))))))))))</f>
        <v>1</v>
      </c>
      <c r="W7" s="92"/>
      <c r="X7" s="92" t="s">
        <v>69</v>
      </c>
    </row>
    <row r="8" spans="2:86" ht="15.75" thickBot="1" x14ac:dyDescent="0.3">
      <c r="B8" s="59" t="str">
        <f>IF($S$7=1,NL!B8,IF(cal!$S$7=2,EN!B8,IF(cal!$S$7=3,DE!B8,IF(cal!$S$7=4,FR!B8,IF(cal!$S$7=5,NR!B8,IF(cal!$S$7=6,SP!B8,IF(cal!$S$7=7,SW!B8,IF(cal!$S$7=8,TS!B8,IF(cal!$S$7=9,ExtraTaal1!B8,IF(cal!$S$7=10,ExtraTaal2!B8,IF(cal!$S$7=11,ExtraTaal3!B8,)))))))))))</f>
        <v>Verwarmen:</v>
      </c>
      <c r="C8" s="60"/>
      <c r="D8" s="60"/>
      <c r="E8" s="60"/>
      <c r="F8" s="60"/>
      <c r="G8" s="62" t="str">
        <f>IF($S$7=1,NL!G8,IF(cal!$S$7=2,EN!G8,IF(cal!$S$7=3,DE!G8,IF(cal!$S$7=4,FR!G8,IF(cal!$S$7=5,NR!G8,IF(cal!$S$7=6,SP!G8,IF(cal!$S$7=7,SW!G8,IF(cal!$S$7=8,TS!G8,IF(cal!$S$7=9,ExtraTaal1!G8,IF(cal!$S$7=10,ExtraTaal2!G8,IF(cal!$S$7=11,ExtraTaal3!G8,)))))))))))</f>
        <v>Koelen:</v>
      </c>
      <c r="H8" s="62"/>
      <c r="I8" s="62"/>
      <c r="J8" s="60"/>
      <c r="K8" s="60"/>
      <c r="L8" s="60"/>
      <c r="M8" s="309">
        <f>'Briza 12'!M7</f>
        <v>0</v>
      </c>
      <c r="N8" s="310">
        <f>'Briza 12'!N7</f>
        <v>0</v>
      </c>
      <c r="O8" s="163"/>
      <c r="P8" s="167"/>
      <c r="Q8" s="61"/>
      <c r="S8" s="88" t="s">
        <v>30</v>
      </c>
      <c r="W8" s="88" t="s">
        <v>30</v>
      </c>
      <c r="X8" s="92" t="s">
        <v>33</v>
      </c>
    </row>
    <row r="9" spans="2:86" ht="15.75" thickBot="1" x14ac:dyDescent="0.3">
      <c r="B9" s="305" t="str">
        <f>IF($S$7=1,NL!B9,IF(cal!$S$7=2,EN!B9,IF(cal!$S$7=3,DE!B9,IF(cal!$S$7=4,FR!B9,IF(cal!$S$7=5,NR!B9,IF(cal!$S$7=6,SP!B9,IF(cal!$S$7=7,SW!B9,IF(cal!$S$7=8,TS!B9,IF(cal!$S$7=9,ExtraTaal1!B9,IF(cal!$S$7=10,ExtraTaal2!B9,IF(cal!$S$7=11,ExtraTaal3!B9,)))))))))))</f>
        <v>Water aanvoer</v>
      </c>
      <c r="C9" s="306">
        <f>IF($S$7=1,NL!C9,IF(cal!$S$7=2,EN!C9,IF(cal!$S$7=3,DE!C9,IF(cal!$S$7=4,FR!C9,IF(cal!$S$7=5,NR!C9,IF(cal!$S$7=6,SP!C9,IF(cal!$S$7=7,SW!C9,IF(cal!$S$7=8,TS!C9,IF(cal!$S$7=9,ExtraTaal1!C9,IF(cal!$S$7=10,ExtraTaal2!C9,IF(cal!$S$7=11,ExtraTaal3!C9,)))))))))))</f>
        <v>0</v>
      </c>
      <c r="D9" s="306">
        <f>IF($S$7=1,NL!D9,IF(cal!$S$7=2,EN!D9,IF(cal!$S$7=3,DE!D9,IF(cal!$S$7=4,FR!D9,IF(cal!$S$7=5,NR!D9,IF(cal!$S$7=6,SP!D9,IF(cal!$S$7=7,SW!D9,IF(cal!$S$7=8,TS!D9,IF(cal!$S$7=9,ExtraTaal1!D9,IF(cal!$S$7=10,ExtraTaal2!D9,IF(cal!$S$7=11,ExtraTaal3!D9,)))))))))))</f>
        <v>0</v>
      </c>
      <c r="E9" s="97">
        <f>'Briza 12'!E8</f>
        <v>75</v>
      </c>
      <c r="F9" s="63" t="str">
        <f>IF($W$4=1,"°C",IF($W$4=2,"°F",))</f>
        <v>°C</v>
      </c>
      <c r="G9" s="306" t="str">
        <f>B9</f>
        <v>Water aanvoer</v>
      </c>
      <c r="H9" s="306">
        <f>IF($S$7=1,NL!H9,IF(cal!$S$7=2,EN!H9,IF(cal!$S$7=3,DE!H9,IF(cal!$S$7=4,FR!H9,))))</f>
        <v>0</v>
      </c>
      <c r="I9" s="306">
        <f>IF($S$7=1,NL!I9,IF(cal!$S$7=2,EN!I9,IF(cal!$S$7=3,DE!I9,IF(cal!$S$7=4,FR!I9,))))</f>
        <v>0</v>
      </c>
      <c r="J9" s="306">
        <f>IF($S$7=1,NL!J9,IF(cal!$S$7=2,EN!J9,IF(cal!$S$7=3,DE!J9,IF(cal!$S$7=4,FR!J9,))))</f>
        <v>0</v>
      </c>
      <c r="K9" s="97">
        <f>'Briza 12'!K8</f>
        <v>8</v>
      </c>
      <c r="L9" s="60" t="str">
        <f>F9</f>
        <v>°C</v>
      </c>
      <c r="M9" s="311" t="str">
        <f>IF($S$7=1,NL!M9,IF(cal!$S$7=2,EN!M9,IF(cal!$S$7=3,DE!M9,IF(cal!$S$7=4,FR!M9,IF(cal!$S$7=5,NR!M9,IF(cal!$S$7=6,SP!M9,))))))</f>
        <v>Eenheidsstelsel</v>
      </c>
      <c r="N9" s="312">
        <f>IF($S$7=1,NL!N9,IF(cal!$S$7=2,EN!N9,IF(cal!$S$7=3,DE!N9,IF(cal!$S$7=4,FR!N9,IF(cal!$S$7=5,#REF!,)))))</f>
        <v>0</v>
      </c>
      <c r="O9" s="60"/>
      <c r="P9" s="168"/>
      <c r="Q9" s="61"/>
      <c r="S9" s="103">
        <f>IF($W$4=1,E9,IF($W$4=2,(E9-32)/1.8))</f>
        <v>75</v>
      </c>
      <c r="W9" s="103">
        <f>IF($W$4=1,K9,IF($W$4=2,(K9-32)/1.8))</f>
        <v>8</v>
      </c>
      <c r="X9" s="92" t="s">
        <v>34</v>
      </c>
    </row>
    <row r="10" spans="2:86" ht="15.75" thickTop="1" x14ac:dyDescent="0.25">
      <c r="B10" s="305" t="str">
        <f>IF($S$7=1,NL!B10,IF(cal!$S$7=2,EN!B10,IF(cal!$S$7=3,DE!B10,IF(cal!$S$7=4,FR!B10,IF(cal!$S$7=5,NR!B10,IF(cal!$S$7=6,SP!B10,IF(cal!$S$7=7,SW!B10,IF(cal!$S$7=8,TS!B10,IF(cal!$S$7=9,ExtraTaal1!B10,IF(cal!$S$7=10,ExtraTaal2!B10,IF(cal!$S$7=11,ExtraTaal3!B10,)))))))))))</f>
        <v>Water retour</v>
      </c>
      <c r="C10" s="306">
        <f>IF($S$7=1,NL!C10,IF(cal!$S$7=2,EN!C10,IF(cal!$S$7=3,DE!C10,IF(cal!$S$7=4,FR!C10,IF(cal!$S$7=5,NR!C10,IF(cal!$S$7=6,SP!C10,IF(cal!$S$7=7,SW!C10,IF(cal!$S$7=8,TS!C10,IF(cal!$S$7=9,ExtraTaal1!C10,IF(cal!$S$7=10,ExtraTaal2!C10,IF(cal!$S$7=11,ExtraTaal3!C10,)))))))))))</f>
        <v>0</v>
      </c>
      <c r="D10" s="306">
        <f>IF($S$7=1,NL!D10,IF(cal!$S$7=2,EN!D10,IF(cal!$S$7=3,DE!D10,IF(cal!$S$7=4,FR!D10,IF(cal!$S$7=5,NR!D10,IF(cal!$S$7=6,SP!D10,IF(cal!$S$7=7,SW!D10,IF(cal!$S$7=8,TS!D10,IF(cal!$S$7=9,ExtraTaal1!D10,IF(cal!$S$7=10,ExtraTaal2!D10,IF(cal!$S$7=11,ExtraTaal3!D10,)))))))))))</f>
        <v>0</v>
      </c>
      <c r="E10" s="97">
        <f>'Briza 12'!E9</f>
        <v>65</v>
      </c>
      <c r="F10" s="63" t="str">
        <f>F9</f>
        <v>°C</v>
      </c>
      <c r="G10" s="306" t="str">
        <f>B10</f>
        <v>Water retour</v>
      </c>
      <c r="H10" s="306">
        <f>IF($S$7=1,NL!H10,IF(cal!$S$7=2,EN!H10,IF(cal!$S$7=3,DE!H10,IF(cal!$S$7=4,FR!H10,))))</f>
        <v>0</v>
      </c>
      <c r="I10" s="306">
        <f>IF($S$7=1,NL!I10,IF(cal!$S$7=2,EN!I10,IF(cal!$S$7=3,DE!I10,IF(cal!$S$7=4,FR!I10,))))</f>
        <v>0</v>
      </c>
      <c r="J10" s="306">
        <f>IF($S$7=1,NL!J10,IF(cal!$S$7=2,EN!J10,IF(cal!$S$7=3,DE!J10,IF(cal!$S$7=4,FR!J10,))))</f>
        <v>0</v>
      </c>
      <c r="K10" s="97">
        <f>'Briza 12'!K9</f>
        <v>14</v>
      </c>
      <c r="L10" s="60" t="str">
        <f>F9</f>
        <v>°C</v>
      </c>
      <c r="M10" s="105"/>
      <c r="N10" s="60"/>
      <c r="O10" s="60"/>
      <c r="P10" s="168"/>
      <c r="Q10" s="61"/>
      <c r="S10" s="103">
        <f t="shared" ref="S10:S11" si="0">IF($W$4=1,E10,IF($W$4=2,(E10-32)/1.8))</f>
        <v>65</v>
      </c>
      <c r="W10" s="103">
        <f t="shared" ref="W10:W11" si="1">IF($W$4=1,K10,IF($W$4=2,(K10-32)/1.8))</f>
        <v>14</v>
      </c>
      <c r="Y10" s="88" t="s">
        <v>64</v>
      </c>
      <c r="Z10" s="88" t="s">
        <v>70</v>
      </c>
      <c r="AA10" s="88" t="s">
        <v>71</v>
      </c>
    </row>
    <row r="11" spans="2:86" ht="15" x14ac:dyDescent="0.25">
      <c r="B11" s="305" t="str">
        <f>IF($S$7=1,NL!B11,IF(cal!$S$7=2,EN!B11,IF(cal!$S$7=3,DE!B11,IF(cal!$S$7=4,FR!B11,IF(cal!$S$7=5,NR!B11,IF(cal!$S$7=6,SP!B11,IF(cal!$S$7=7,SW!B11,IF(cal!$S$7=8,TS!B11,IF(cal!$S$7=9,ExtraTaal1!B11,IF(cal!$S$7=10,ExtraTaal2!B11,IF(cal!$S$7=11,ExtraTaal3!B11,)))))))))))</f>
        <v>Ruimte</v>
      </c>
      <c r="C11" s="306">
        <f>IF($S$7=1,NL!C11,IF(cal!$S$7=2,EN!C11,IF(cal!$S$7=3,DE!C11,IF(cal!$S$7=4,FR!C11,IF(cal!$S$7=5,NR!C11,IF(cal!$S$7=6,SP!C11,IF(cal!$S$7=7,SW!C11,IF(cal!$S$7=8,TS!C11,IF(cal!$S$7=9,ExtraTaal1!C11,IF(cal!$S$7=10,ExtraTaal2!C11,IF(cal!$S$7=11,ExtraTaal3!C11,)))))))))))</f>
        <v>0</v>
      </c>
      <c r="D11" s="306">
        <f>IF($S$7=1,NL!D11,IF(cal!$S$7=2,EN!D11,IF(cal!$S$7=3,DE!D11,IF(cal!$S$7=4,FR!D11,IF(cal!$S$7=5,NR!D11,IF(cal!$S$7=6,SP!D11,IF(cal!$S$7=7,SW!D11,IF(cal!$S$7=8,TS!D11,IF(cal!$S$7=9,ExtraTaal1!D11,IF(cal!$S$7=10,ExtraTaal2!D11,IF(cal!$S$7=11,ExtraTaal3!D11,)))))))))))</f>
        <v>0</v>
      </c>
      <c r="E11" s="97">
        <f>'Briza 12'!E10</f>
        <v>20</v>
      </c>
      <c r="F11" s="63" t="str">
        <f>F9</f>
        <v>°C</v>
      </c>
      <c r="G11" s="306" t="str">
        <f>B11</f>
        <v>Ruimte</v>
      </c>
      <c r="H11" s="306">
        <f>IF($S$7=1,NL!H11,IF(cal!$S$7=2,EN!H11,IF(cal!$S$7=3,DE!H11,IF(cal!$S$7=4,FR!H11,))))</f>
        <v>0</v>
      </c>
      <c r="I11" s="306"/>
      <c r="J11" s="306"/>
      <c r="K11" s="97">
        <f>'Briza 12'!K10</f>
        <v>25</v>
      </c>
      <c r="L11" s="60" t="str">
        <f>F9</f>
        <v>°C</v>
      </c>
      <c r="M11" s="105"/>
      <c r="N11" s="60"/>
      <c r="O11" s="60"/>
      <c r="P11" s="168"/>
      <c r="Q11" s="61"/>
      <c r="S11" s="103">
        <f t="shared" si="0"/>
        <v>20</v>
      </c>
      <c r="W11" s="103">
        <f t="shared" si="1"/>
        <v>25</v>
      </c>
      <c r="Y11" s="106">
        <f>IF($W$4=1,(101325*(1-((0.0065*M8)/(288.15)))^((9.81*0.028964)/(8.31447*0.0065))),IF($W$4=2,(101325*(1-((0.0065*(M8*0.3048))/(288.15)))^((9.81*0.028964)/(8.31447*0.0065)))))</f>
        <v>101325</v>
      </c>
      <c r="Z11" s="106">
        <f>IF($W$4=1,M8/1000,IF($W$4=2,M8*0.0003048))</f>
        <v>0</v>
      </c>
      <c r="AA11" s="106">
        <f>-(0.000265264729874266*Z11^6)+(0.000957582908802335*Z11^5)+(0.00470250661483425*Z11^4)-(0.0298716926548353*Z11^3)+(0.0557086806557086*Z11^2)-(0.0484008125693582*Z11)+1</f>
        <v>1</v>
      </c>
    </row>
    <row r="12" spans="2:86" ht="15" x14ac:dyDescent="0.25">
      <c r="B12" s="64"/>
      <c r="C12" s="60"/>
      <c r="D12" s="60"/>
      <c r="E12" s="60"/>
      <c r="F12" s="60"/>
      <c r="G12" s="60" t="str">
        <f>IF($S$7=1,NL!G12,IF(cal!$S$7=2,EN!G12,IF(cal!$S$7=3,DE!G12,IF(cal!$S$7=4,FR!G12,IF(cal!$S$7=5,NR!G12,IF(cal!$S$7=6,SP!G12,IF(cal!$S$7=7,SW!G12,IF(cal!$S$7=8,TS!G12,IF(cal!$S$7=9,ExtraTaal1!G12,IF(cal!$S$7=10,ExtraTaal2!G12,IF(cal!$S$7=11,ExtraTaal3!G12,)))))))))))</f>
        <v>Relatieve vochtigheid</v>
      </c>
      <c r="H12" s="60"/>
      <c r="I12" s="60"/>
      <c r="J12" s="60"/>
      <c r="K12" s="46">
        <f>'Briza 12'!K11</f>
        <v>0.5</v>
      </c>
      <c r="L12" s="60"/>
      <c r="M12" s="105"/>
      <c r="N12" s="60"/>
      <c r="O12" s="60"/>
      <c r="P12" s="168"/>
      <c r="Q12" s="61"/>
    </row>
    <row r="13" spans="2:86" ht="6" customHeight="1" x14ac:dyDescent="0.25">
      <c r="B13" s="66"/>
      <c r="C13" s="67"/>
      <c r="D13" s="67"/>
      <c r="E13" s="67"/>
      <c r="F13" s="68"/>
      <c r="G13" s="68"/>
      <c r="H13" s="68"/>
      <c r="I13" s="68"/>
      <c r="J13" s="68"/>
      <c r="K13" s="68"/>
      <c r="L13" s="68"/>
      <c r="M13" s="68"/>
      <c r="N13" s="68"/>
      <c r="O13" s="169"/>
      <c r="P13" s="170"/>
      <c r="Q13" s="61"/>
    </row>
    <row r="14" spans="2:86" ht="15" x14ac:dyDescent="0.25">
      <c r="B14" s="99"/>
      <c r="C14" s="99"/>
      <c r="D14" s="182">
        <f>IF($W$4=1,1,IF($W$4=2,3.412141633))</f>
        <v>1</v>
      </c>
      <c r="E14" s="182">
        <f>IF($W$4=1,1,IF($W$4=2,0.004403))</f>
        <v>1</v>
      </c>
      <c r="F14" s="182">
        <f>IF($W$4=1,1,IF($W$4=2,4.0147))</f>
        <v>1</v>
      </c>
      <c r="G14" s="182">
        <f t="shared" ref="G14:H14" si="2">IF($W$4=1,1,IF($W$4=2,3.412141633))</f>
        <v>1</v>
      </c>
      <c r="H14" s="182">
        <f t="shared" si="2"/>
        <v>1</v>
      </c>
      <c r="I14" s="182">
        <f>IF($W$4=1,1,IF($W$4=2,0.004403))</f>
        <v>1</v>
      </c>
      <c r="J14" s="182">
        <f>IF($W$4=1,1,IF($W$4=2,4.0147))</f>
        <v>1</v>
      </c>
      <c r="K14" s="183">
        <f>IF($W$4=1,0.000334444444444444,IF($W$4=2,0.000568224721372))</f>
        <v>3.3444444444444401E-4</v>
      </c>
      <c r="L14" s="183"/>
      <c r="M14" s="183">
        <f>IF($W$4=1,1,IF($W$4=2,1.8))</f>
        <v>1</v>
      </c>
      <c r="N14" s="182">
        <f>IF($W$4=1,1,IF($W$4=2,0.588575))</f>
        <v>1</v>
      </c>
      <c r="O14" s="184">
        <f>IF($W$4=1,0,IF($W$4=2,32))</f>
        <v>0</v>
      </c>
      <c r="P14" s="184"/>
      <c r="Q14" s="61"/>
      <c r="W14" s="51"/>
      <c r="X14" s="51"/>
      <c r="Y14" s="51"/>
      <c r="Z14" s="51"/>
    </row>
    <row r="15" spans="2:86" s="87" customFormat="1" ht="103.5" customHeight="1" x14ac:dyDescent="0.25">
      <c r="B15" s="150" t="str">
        <f>IF($S$7=1,NL!B15,IF(cal!$S$7=2,EN!B15,IF(cal!$S$7=3,DE!B15,IF(cal!$S$7=4,FR!B15,IF(cal!$S$7=5,NR!B15,IF(cal!$S$7=6,SP!B15,IF(cal!$S$7=7,SW!B15,IF(cal!$S$7=8,TS!B15,IF(cal!$S$7=9,ExtraTaal1!B15,IF(cal!$S$7=10,ExtraTaal2!B15,IF(cal!$S$7=11,ExtraTaal3!B15,)))))))))))</f>
        <v>Snelheidsniveau</v>
      </c>
      <c r="C15" s="151" t="str">
        <f>IF($S$7=1,NL!C15,IF(cal!$S$7=2,EN!C15,IF(cal!$S$7=3,DE!C15,IF(cal!$S$7=4,FR!C15,IF(cal!$S$7=5,NR!C15,IF(cal!$S$7=6,SP!C15,IF(cal!$S$7=7,SW!C15,IF(cal!$S$7=8,TS!C15,IF(cal!$S$7=9,ExtraTaal1!C15,IF(cal!$S$7=10,ExtraTaal2!C15,IF(cal!$S$7=11,ExtraTaal3!C15,)))))))))))</f>
        <v>Stuurspanning [V]</v>
      </c>
      <c r="D15" s="152" t="str">
        <f>IF($S$7=1,NL!D15,IF(cal!$S$7=2,EN!D15,IF(cal!$S$7=3,DE!D15,IF(cal!$S$7=4,FR!D15,IF(cal!$S$7=5,NR!D15,IF(cal!$S$7=6,SP!D15,IF(cal!$S$7=7,SW!D15,IF(cal!$S$7=8,TS!D15,IF(cal!$S$7=9,ExtraTaal1!D15,IF(cal!$S$7=10,ExtraTaal2!D15,IF(cal!$S$7=11,ExtraTaal3!D15,)))))))))))</f>
        <v>Warmteafgifte  75/65/20 [W]</v>
      </c>
      <c r="E15" s="153" t="str">
        <f>IF($S$7=1,NL!E15,IF(cal!$S$7=2,EN!E15,IF(cal!$S$7=3,DE!E15,IF(cal!$S$7=4,FR!E15,IF(cal!$S$7=5,NR!E15,IF(cal!$S$7=6,SP!E15,IF(cal!$S$7=7,SW!E15,IF(cal!$S$7=8,TS!E15,IF(cal!$S$7=9,ExtraTaal1!E15,IF(cal!$S$7=10,ExtraTaal2!E15,IF(cal!$S$7=11,ExtraTaal3!E15,)))))))))))</f>
        <v>Waterdebiet, verwarming [l/h]</v>
      </c>
      <c r="F15" s="154" t="str">
        <f>IF($S$7=1,NL!F15,IF(cal!$S$7=2,EN!F15,IF(cal!$S$7=3,DE!F15,IF(cal!$S$7=4,FR!F15,IF(cal!$S$7=5,NR!F15,IF(cal!$S$7=6,SP!F15,IF(cal!$S$7=7,SW!F15,IF(cal!$S$7=8,TS!F15,IF(cal!$S$7=9,ExtraTaal1!F15,IF(cal!$S$7=10,ExtraTaal2!F15,IF(cal!$S$7=11,ExtraTaal3!F15,)))))))))))</f>
        <v>Waterzijdig drukverlies [kPa]</v>
      </c>
      <c r="G15" s="155" t="str">
        <f>IF($S$7=1,NL!G15,IF(cal!$S$7=2,EN!G15,IF(cal!$S$7=3,DE!G15,IF(cal!$S$7=4,FR!G15,IF(cal!$S$7=5,NR!G15,IF(cal!$S$7=6,SP!G15,IF(cal!$S$7=7,SW!G15,IF(cal!$S$7=8,TS!G15,IF(cal!$S$7=9,ExtraTaal1!G15,IF(cal!$S$7=10,ExtraTaal2!G15,IF(cal!$S$7=11,ExtraTaal3!G15,)))))))))))</f>
        <v>Voelb. Koelcapaciteit  8/14/25 [W]</v>
      </c>
      <c r="H15" s="156" t="str">
        <f>IF($S$7=1,NL!H15,IF(cal!$S$7=2,EN!H15,IF(cal!$S$7=3,DE!H15,IF(cal!$S$7=4,FR!H15,IF(cal!$S$7=5,NR!H15,IF(cal!$S$7=6,SP!H15,IF(cal!$S$7=7,SW!H15,IF(cal!$S$7=8,TS!H15,IF(cal!$S$7=9,ExtraTaal1!H15,IF(cal!$S$7=10,ExtraTaal2!H15,IF(cal!$S$7=11,ExtraTaal3!H15,)))))))))))</f>
        <v>Tot. koelcapaciteit 8/14/25 [W]</v>
      </c>
      <c r="I15" s="153" t="str">
        <f>IF($S$7=1,NL!I15,IF(cal!$S$7=2,EN!I15,IF(cal!$S$7=3,DE!I15,IF(cal!$S$7=4,FR!I15,IF(cal!$S$7=5,NR!I15,IF(cal!$S$7=6,SP!I15,IF(cal!$S$7=7,SW!I15,IF(cal!$S$7=8,TS!I15,IF(cal!$S$7=9,ExtraTaal1!I15,IF(cal!$S$7=10,ExtraTaal2!I15,IF(cal!$S$7=11,ExtraTaal3!I15,)))))))))))</f>
        <v>Waterdebiet, koeling [l/h]</v>
      </c>
      <c r="J15" s="154" t="str">
        <f>IF($S$7=1,NL!J15,IF(cal!$S$7=2,EN!J15,IF(cal!$S$7=3,DE!J15,IF(cal!$S$7=4,FR!J15,IF(cal!$S$7=5,NR!J15,IF(cal!$S$7=6,SP!J15,IF(cal!$S$7=7,SW!J15,IF(cal!$S$7=8,TS!J15,IF(cal!$S$7=9,ExtraTaal1!J15,IF(cal!$S$7=10,ExtraTaal2!J15,IF(cal!$S$7=11,ExtraTaal3!J15,)))))))))))</f>
        <v>Waterzijdig drukverlies [kPa]</v>
      </c>
      <c r="K15" s="157" t="str">
        <f>IF($S$7=1,NL!K15,IF(cal!$S$7=2,EN!K15,IF(cal!$S$7=3,DE!K15,IF(cal!$S$7=4,FR!K15,IF(cal!$S$7=5,NR!K15,IF(cal!$S$7=6,SP!K15,IF(cal!$S$7=7,SW!K15,IF(cal!$S$7=8,TS!K15,IF(cal!$S$7=9,ExtraTaal1!K15,IF(cal!$S$7=10,ExtraTaal2!K15,IF(cal!$S$7=11,ExtraTaal3!K15,)))))))))))</f>
        <v>Geluidsdruk ** [dB(A)]</v>
      </c>
      <c r="L15" s="158" t="str">
        <f>IF($S$7=1,NL!L15,IF(cal!$S$7=2,EN!L15,IF(cal!$S$7=3,DE!L15,IF(cal!$S$7=4,FR!L15,IF(cal!$S$7=5,NR!L15,IF(cal!$S$7=6,SP!L15,IF(cal!$S$7=7,SW!L15,IF(cal!$S$7=8,TS!L15,IF(cal!$S$7=9,ExtraTaal1!L15,IF(cal!$S$7=10,ExtraTaal2!L15,IF(cal!$S$7=11,ExtraTaal3!L15,)))))))))))</f>
        <v>Geluidsvermogen * [dB(A)]</v>
      </c>
      <c r="M15" s="159" t="str">
        <f>IF($S$7=1,NL!M15,IF(cal!$S$7=2,EN!M15,IF(cal!$S$7=3,DE!M15,IF(cal!$S$7=4,FR!M15,IF(cal!$S$7=5,NR!M15,IF(cal!$S$7=6,SP!M15,IF(cal!$S$7=7,SW!M15,IF(cal!$S$7=8,TS!M15,IF(cal!$S$7=9,ExtraTaal1!M15,IF(cal!$S$7=10,ExtraTaal2!M15,IF(cal!$S$7=11,ExtraTaal3!M15,)))))))))))</f>
        <v>Opgenomen elektr. vermogen [W]</v>
      </c>
      <c r="N15" s="160" t="str">
        <f>IF($S$7=1,NL!N15,IF(cal!$S$7=2,EN!N15,IF(cal!$S$7=3,DE!N15,IF(cal!$S$7=4,FR!N15,IF(cal!$S$7=5,NR!N15,IF(cal!$S$7=6,SP!N15,IF(cal!$S$7=7,SW!N15,IF(cal!$S$7=8,TS!N15,IF(cal!$S$7=9,ExtraTaal1!N15,IF(cal!$S$7=10,ExtraTaal2!N15,IF(cal!$S$7=11,ExtraTaal3!N15,)))))))))))</f>
        <v>Luchtdebiet [m³/h]</v>
      </c>
      <c r="O15" s="159" t="str">
        <f>IF($S$7=1,NL!O15,IF(cal!$S$7=2,EN!O15,IF(cal!$S$7=3,DE!O15,IF(cal!$S$7=4,FR!O15,IF(cal!$S$7=5,NR!O15,IF(cal!$S$7=6,SP!O15,IF(cal!$S$7=7,SW!O15,IF(cal!$S$7=8,TS!O15,IF(cal!$S$7=9,ExtraTaal1!O15,IF(cal!$S$7=10,ExtraTaal2!O15,IF(cal!$S$7=11,ExtraTaal3!O15,)))))))))))</f>
        <v>Uitblaastemp. verwarming  [°C]</v>
      </c>
      <c r="P15" s="160" t="str">
        <f>IF($S$7=1,NL!P15,IF(cal!$S$7=2,EN!P15,IF(cal!$S$7=3,DE!P15,IF(cal!$S$7=4,FR!P15,IF(cal!$S$7=5,NR!P15,IF(cal!$S$7=6,SP!P15,IF(cal!$S$7=7,SW!P15,IF(cal!$S$7=8,TS!P15,IF(cal!$S$7=9,ExtraTaal1!P15,IF(cal!$S$7=10,ExtraTaal2!P15,IF(cal!$S$7=11,ExtraTaal3!P15,)))))))))))</f>
        <v>Uitblaastemp. koeling  [°C]</v>
      </c>
      <c r="Q15" s="69"/>
      <c r="W15" s="107" t="s">
        <v>26</v>
      </c>
      <c r="X15" s="108" t="s">
        <v>27</v>
      </c>
      <c r="Y15" s="108" t="s">
        <v>35</v>
      </c>
      <c r="Z15" s="108" t="s">
        <v>36</v>
      </c>
      <c r="AA15" s="108" t="s">
        <v>37</v>
      </c>
      <c r="AB15" s="108" t="s">
        <v>38</v>
      </c>
      <c r="AC15" s="109" t="s">
        <v>39</v>
      </c>
      <c r="AD15" s="110"/>
      <c r="AE15" s="107" t="s">
        <v>26</v>
      </c>
      <c r="AF15" s="108" t="s">
        <v>27</v>
      </c>
      <c r="AG15" s="108" t="s">
        <v>35</v>
      </c>
      <c r="AH15" s="108" t="s">
        <v>36</v>
      </c>
      <c r="AI15" s="108" t="s">
        <v>37</v>
      </c>
      <c r="AJ15" s="108" t="s">
        <v>38</v>
      </c>
      <c r="AK15" s="111" t="s">
        <v>39</v>
      </c>
      <c r="AL15" s="107" t="s">
        <v>26</v>
      </c>
      <c r="AM15" s="108" t="s">
        <v>27</v>
      </c>
      <c r="AN15" s="108" t="s">
        <v>35</v>
      </c>
      <c r="AO15" s="108" t="s">
        <v>36</v>
      </c>
      <c r="AP15" s="108" t="s">
        <v>37</v>
      </c>
      <c r="AQ15" s="108" t="s">
        <v>38</v>
      </c>
      <c r="AR15" s="111" t="s">
        <v>39</v>
      </c>
      <c r="AS15" s="107" t="s">
        <v>26</v>
      </c>
      <c r="AT15" s="108" t="s">
        <v>27</v>
      </c>
      <c r="AU15" s="108" t="s">
        <v>35</v>
      </c>
      <c r="AV15" s="108" t="s">
        <v>36</v>
      </c>
      <c r="AW15" s="108" t="s">
        <v>37</v>
      </c>
      <c r="AX15" s="108" t="s">
        <v>38</v>
      </c>
      <c r="AY15" s="111" t="s">
        <v>39</v>
      </c>
      <c r="AZ15" s="107" t="s">
        <v>26</v>
      </c>
      <c r="BA15" s="108" t="s">
        <v>27</v>
      </c>
      <c r="BB15" s="108" t="s">
        <v>35</v>
      </c>
      <c r="BC15" s="108" t="s">
        <v>36</v>
      </c>
      <c r="BD15" s="108" t="s">
        <v>37</v>
      </c>
      <c r="BE15" s="108" t="s">
        <v>38</v>
      </c>
      <c r="BF15" s="111" t="s">
        <v>39</v>
      </c>
      <c r="BG15" s="107" t="s">
        <v>26</v>
      </c>
      <c r="BH15" s="108" t="s">
        <v>27</v>
      </c>
      <c r="BI15" s="108" t="s">
        <v>35</v>
      </c>
      <c r="BJ15" s="108" t="s">
        <v>36</v>
      </c>
      <c r="BK15" s="108" t="s">
        <v>37</v>
      </c>
      <c r="BL15" s="108" t="s">
        <v>38</v>
      </c>
      <c r="BM15" s="111" t="s">
        <v>39</v>
      </c>
      <c r="BN15" s="107" t="s">
        <v>26</v>
      </c>
      <c r="BO15" s="108" t="s">
        <v>27</v>
      </c>
      <c r="BP15" s="108" t="s">
        <v>35</v>
      </c>
      <c r="BQ15" s="108" t="s">
        <v>36</v>
      </c>
      <c r="BR15" s="108" t="s">
        <v>37</v>
      </c>
      <c r="BS15" s="108" t="s">
        <v>38</v>
      </c>
      <c r="BT15" s="111" t="s">
        <v>39</v>
      </c>
      <c r="BU15" s="107" t="s">
        <v>26</v>
      </c>
      <c r="BV15" s="108" t="s">
        <v>27</v>
      </c>
      <c r="BW15" s="108" t="s">
        <v>35</v>
      </c>
      <c r="BX15" s="108" t="s">
        <v>36</v>
      </c>
      <c r="BY15" s="108" t="s">
        <v>37</v>
      </c>
      <c r="BZ15" s="108" t="s">
        <v>38</v>
      </c>
      <c r="CA15" s="111" t="s">
        <v>39</v>
      </c>
      <c r="CB15" s="107" t="s">
        <v>26</v>
      </c>
      <c r="CC15" s="108" t="s">
        <v>27</v>
      </c>
      <c r="CD15" s="108" t="s">
        <v>35</v>
      </c>
      <c r="CE15" s="108" t="s">
        <v>36</v>
      </c>
      <c r="CF15" s="108" t="s">
        <v>37</v>
      </c>
      <c r="CG15" s="108" t="s">
        <v>38</v>
      </c>
      <c r="CH15" s="111" t="s">
        <v>39</v>
      </c>
    </row>
    <row r="16" spans="2:86" ht="18" customHeight="1" x14ac:dyDescent="0.25">
      <c r="B16" s="301" t="str">
        <f>IF($S$7=1,NL!B16,IF(cal!$S$7=2,EN!B16,IF(cal!$S$7=3,DE!B16,IF(cal!$S$7=4,FR!B16,IF(cal!$S$7=5,NR!B16,IF(cal!$S$7=6,SP!B16,IF(cal!$S$7=7,SW!B16,IF(cal!$S$7=8,TS!B16,IF(cal!$S$7=9,ExtraTaal1!B16,IF(cal!$S$7=10,ExtraTaal2!B16,IF(cal!$S$7=11,ExtraTaal3!B16,)))))))))))</f>
        <v>Briza 12 hoogte 41 cm breedte 14 cm lengte 75 cm (Type 1)</v>
      </c>
      <c r="C16" s="302">
        <f>IF($S$7=1,NL!C16,IF(cal!$S$7=2,EN!C16,IF(cal!$S$7=3,DE!C16,IF(cal!$S$7=4,FR!C16,IF(cal!$S$7=5,NR!C16,IF(cal!$S$7=6,SP!C16,))))))</f>
        <v>0</v>
      </c>
      <c r="D16" s="302">
        <f>IF($S$7=1,NL!D16,IF(cal!$S$7=2,EN!D16,IF(cal!$S$7=3,DE!D16,IF(cal!$S$7=4,FR!D16,IF(cal!$S$7=5,NR!D16,IF(cal!$S$7=6,SP!D16,))))))</f>
        <v>0</v>
      </c>
      <c r="E16" s="302">
        <f>IF($S$7=1,NL!E16,IF(cal!$S$7=2,EN!E16,IF(cal!$S$7=3,DE!E16,IF(cal!$S$7=4,FR!E16,IF(cal!$S$7=5,NR!E16,IF(cal!$S$7=6,SP!E16,))))))</f>
        <v>0</v>
      </c>
      <c r="F16" s="302">
        <f>IF($S$7=1,NL!F16,IF(cal!$S$7=2,EN!F16,IF(cal!$S$7=3,DE!F16,IF(cal!$S$7=4,FR!F16,IF(cal!$S$7=5,NR!F16,IF(cal!$S$7=6,SP!F16,))))))</f>
        <v>0</v>
      </c>
      <c r="G16" s="302">
        <f>IF($S$7=1,NL!G16,IF(cal!$S$7=2,EN!G16,IF(cal!$S$7=3,DE!G16,IF(cal!$S$7=4,FR!G16,IF(cal!$S$7=5,NR!G16,IF(cal!$S$7=6,SP!G16,))))))</f>
        <v>0</v>
      </c>
      <c r="H16" s="302">
        <f>IF($S$7=1,NL!H16,IF(cal!$S$7=2,EN!H16,IF(cal!$S$7=3,DE!H16,IF(cal!$S$7=4,FR!H16,IF(cal!$S$7=5,NR!H16,IF(cal!$S$7=6,SP!H16,))))))</f>
        <v>0</v>
      </c>
      <c r="I16" s="302">
        <f>IF($S$7=1,NL!I16,IF(cal!$S$7=2,EN!I16,IF(cal!$S$7=3,DE!I16,IF(cal!$S$7=4,FR!I16,IF(cal!$S$7=5,NR!I16,IF(cal!$S$7=6,SP!I16,))))))</f>
        <v>0</v>
      </c>
      <c r="J16" s="302">
        <f>IF($S$7=1,NL!J16,IF(cal!$S$7=2,EN!J16,IF(cal!$S$7=3,DE!J16,IF(cal!$S$7=4,FR!J16,IF(cal!$S$7=5,NR!J16,IF(cal!$S$7=6,SP!J16,))))))</f>
        <v>0</v>
      </c>
      <c r="K16" s="302">
        <f>IF($S$7=1,NL!K16,IF(cal!$S$7=2,EN!K16,IF(cal!$S$7=3,DE!K16,IF(cal!$S$7=4,FR!K16,IF(cal!$S$7=5,NR!K16,IF(cal!$S$7=6,SP!K16,))))))</f>
        <v>0</v>
      </c>
      <c r="L16" s="302">
        <f>IF($S$7=1,NL!L16,IF(cal!$S$7=2,EN!L16,IF(cal!$S$7=3,DE!L16,IF(cal!$S$7=4,FR!L16,IF(cal!$S$7=5,NR!L16,IF(cal!$S$7=6,SP!L16,))))))</f>
        <v>0</v>
      </c>
      <c r="M16" s="302">
        <f>IF($S$7=1,NL!M16,IF(cal!$S$7=2,EN!M16,IF(cal!$S$7=3,DE!M16,IF(cal!$S$7=4,FR!M16,IF(cal!$S$7=5,NR!M16,IF(cal!$S$7=6,SP!M16,))))))</f>
        <v>0</v>
      </c>
      <c r="N16" s="302">
        <f>IF($S$7=1,NL!N16,IF(cal!$S$7=2,EN!N16,IF(cal!$S$7=3,DE!N16,IF(cal!$S$7=4,FR!N16,IF(cal!$S$7=5,NR!N16,IF(cal!$S$7=6,SP!N16,))))))</f>
        <v>0</v>
      </c>
      <c r="O16" s="302">
        <f>IF($S$7=1,NL!O16,IF(cal!$S$7=2,EN!O16,IF(cal!$S$7=3,DE!O16,IF(cal!$S$7=4,FR!O16,IF(cal!$S$7=5,NR!O16,IF(cal!$S$7=6,SP!O16,))))))</f>
        <v>0</v>
      </c>
      <c r="P16" s="303">
        <f>IF($S$7=1,NL!P16,IF(cal!$S$7=2,EN!P16,IF(cal!$S$7=3,DE!P16,IF(cal!$S$7=4,FR!P16,IF(cal!$S$7=5,NR!P16,IF(cal!$S$7=6,SP!P16,))))))</f>
        <v>0</v>
      </c>
      <c r="Q16" s="61"/>
      <c r="S16" s="88" t="s">
        <v>6</v>
      </c>
      <c r="W16" s="316">
        <f>IF('Briza 12'!$K$4=cal!$X2,1,IF('Briza 12'!$K$4=cal!$X3,2,IF('Briza 12'!$K$4=cal!$X4,3,IF('Briza 12'!$K$4=cal!$X5,4,IF('Briza 12'!$K$4=cal!$X6,5,IF('Briza 12'!$K$4=cal!$X7,6,IF('Briza 12'!$K$4=cal!$X8,7,IF('Briza 12'!$K$4=cal!$X9,8,))))))))</f>
        <v>3</v>
      </c>
      <c r="X16" s="317"/>
      <c r="Y16" s="318"/>
      <c r="Z16" s="317"/>
      <c r="AA16" s="318"/>
      <c r="AB16" s="318"/>
      <c r="AC16" s="318"/>
      <c r="AD16" s="112"/>
      <c r="AE16" s="313" t="s">
        <v>66</v>
      </c>
      <c r="AF16" s="314"/>
      <c r="AG16" s="314"/>
      <c r="AH16" s="314"/>
      <c r="AI16" s="314"/>
      <c r="AJ16" s="314"/>
      <c r="AK16" s="315"/>
      <c r="AL16" s="313" t="s">
        <v>67</v>
      </c>
      <c r="AM16" s="314"/>
      <c r="AN16" s="314"/>
      <c r="AO16" s="314"/>
      <c r="AP16" s="314"/>
      <c r="AQ16" s="314"/>
      <c r="AR16" s="315"/>
      <c r="AS16" s="313" t="s">
        <v>31</v>
      </c>
      <c r="AT16" s="314"/>
      <c r="AU16" s="314"/>
      <c r="AV16" s="314"/>
      <c r="AW16" s="314"/>
      <c r="AX16" s="314"/>
      <c r="AY16" s="315"/>
      <c r="AZ16" s="313" t="s">
        <v>32</v>
      </c>
      <c r="BA16" s="314"/>
      <c r="BB16" s="314"/>
      <c r="BC16" s="314"/>
      <c r="BD16" s="314"/>
      <c r="BE16" s="314"/>
      <c r="BF16" s="315"/>
      <c r="BG16" s="313" t="s">
        <v>68</v>
      </c>
      <c r="BH16" s="314"/>
      <c r="BI16" s="314"/>
      <c r="BJ16" s="314"/>
      <c r="BK16" s="314"/>
      <c r="BL16" s="314"/>
      <c r="BM16" s="315"/>
      <c r="BN16" s="313" t="s">
        <v>69</v>
      </c>
      <c r="BO16" s="314"/>
      <c r="BP16" s="314"/>
      <c r="BQ16" s="314"/>
      <c r="BR16" s="314"/>
      <c r="BS16" s="314"/>
      <c r="BT16" s="315"/>
      <c r="BU16" s="313" t="s">
        <v>33</v>
      </c>
      <c r="BV16" s="314"/>
      <c r="BW16" s="314"/>
      <c r="BX16" s="314"/>
      <c r="BY16" s="314"/>
      <c r="BZ16" s="314"/>
      <c r="CA16" s="315"/>
      <c r="CB16" s="313" t="s">
        <v>34</v>
      </c>
      <c r="CC16" s="314"/>
      <c r="CD16" s="314"/>
      <c r="CE16" s="314"/>
      <c r="CF16" s="314"/>
      <c r="CG16" s="314"/>
      <c r="CH16" s="315"/>
    </row>
    <row r="17" spans="2:86" ht="15" x14ac:dyDescent="0.25">
      <c r="B17" s="70">
        <v>0.2</v>
      </c>
      <c r="C17" s="71">
        <v>2</v>
      </c>
      <c r="D17" s="72">
        <f>(($W$17*$C17^4+$W$18*$C17^3+$W$19*$C17^2+$W$20*$C17+$W$21)*((((Tv_heat-Tr_heat)/LN((Tv_heat-Tl_heat)/(Tr_heat-Tl_heat)))/((75-65)/LN((75-20)/(65-20))))^$S17))*$D$14*$AA$11</f>
        <v>902.63201467340218</v>
      </c>
      <c r="E17" s="95">
        <f>ROUND(((D17/$D$14)/((Tv_heat-Tr_heat)*1.163))*$E$14,IF($W$4=1,0,IF($W$4=2,2)))</f>
        <v>78</v>
      </c>
      <c r="F17" s="74">
        <f>($X$18*(E17/$E$14)^$X$20)*$F$14</f>
        <v>0.18531046187992548</v>
      </c>
      <c r="G17" s="73">
        <f>(($Y$17*$C17^4+$Y$18*$C17^3+$Y$19*$C17^2+$Y$20*$C17+$Y$21)*((((Tv_cool-Tr_cool)/LN((Tv_cool-Tl_cool)/(Tr_cool-Tl_cool)))/((16-18)/LN((16-27)/(18-27))))^S17))*$G$14*$AA$11</f>
        <v>159.54351779103268</v>
      </c>
      <c r="H17" s="73">
        <f>((G17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17+0.001448)*(Tl_cool-((Tv_cool+Tr_cool)/2))+(0.016908*$C17-0.033574))*1.039&gt;1,1,1/(1+((2258*((0.622/((p_atm/(1*611*EXP(17.27*(((Tv_cool+Tr_cool)/2)/(((Tv_cool+Tr_cool)/2)+237.3))))))-1)*1000-(0.622/((p_atm/(RH*611*EXP(17.27*(Tl_cool/(Tl_cool+237.3))))))-1)*1000))/(1005*(((Tv_cool+Tr_cool)/2)-Tl_cool))))*1.039+((-0.000729*$C17+0.001448)*(Tl_cool-((Tv_cool+Tr_cool)/2))+(0.016908*$C17-0.033574))*1.039))))*$H$14</f>
        <v>194.56512269372098</v>
      </c>
      <c r="I17" s="95">
        <f>ROUND(((H17/$H$14)/((Tr_cool-Tv_cool)*1.163))*$I$14,IF($W$4=1,0,IF($W$4=2,2)))</f>
        <v>28</v>
      </c>
      <c r="J17" s="75">
        <f>($Z$18*(I17/$I$14)^$Z$20)*$J$14</f>
        <v>2.8253340526348231E-2</v>
      </c>
      <c r="K17" s="93">
        <f>L17-8</f>
        <v>18.5</v>
      </c>
      <c r="L17" s="90">
        <f>AA17</f>
        <v>26.5</v>
      </c>
      <c r="M17" s="76">
        <f>AB17</f>
        <v>1.6</v>
      </c>
      <c r="N17" s="100">
        <f>AC17*$N$14</f>
        <v>64</v>
      </c>
      <c r="O17" s="76">
        <f>(Tl_heat+(($D17/$G$14)/(1006*$N17*$K$14)))*(0.05*$C17+0.7)*$M$14+$O$14</f>
        <v>49.535036178529445</v>
      </c>
      <c r="P17" s="161">
        <f>(Tl_cool-(($G17/$G$14)/(1006*$N17*$K$14)))*$M$14+$O$14</f>
        <v>17.59069926310443</v>
      </c>
      <c r="Q17" s="61"/>
      <c r="S17" s="104">
        <v>1</v>
      </c>
      <c r="W17" s="113">
        <f>IF($W$16=1,AE17,IF($W$16=2,AL17,IF($W$16=3,AS17,IF($W$16=4,AZ17,IF($W$16=5,BG17,IF($W$16=6,BN17,IF($W$16=7,BU17,IF($W$16=8,CB17))))))))</f>
        <v>7.4263626519463083E-3</v>
      </c>
      <c r="X17" s="114" t="str">
        <f t="shared" ref="X17:X21" si="3">IF($W$16=1,AF17,IF($W$16=2,AM17,IF($W$16=3,AT17,IF($W$16=4,BA17,IF($W$16=5,BH17,IF($W$16=6,BO17,IF($W$16=7,BV17,IF($W$16=8,CC17))))))))</f>
        <v>a</v>
      </c>
      <c r="Y17" s="115">
        <f t="shared" ref="X17:AB22" si="4">IF($W$16=1,AG17,IF($W$16=2,AN17,IF($W$16=3,AU17,IF($W$16=4,BB17,IF($W$16=5,BI17,IF($W$16=6,BP17,IF($W$16=7,BW17,IF($W$16=8,CD17))))))))</f>
        <v>0</v>
      </c>
      <c r="Z17" s="114" t="str">
        <f t="shared" ref="Z17:Z21" si="5">IF($W$16=1,AH17,IF($W$16=2,AO17,IF($W$16=3,AV17,IF($W$16=4,BC17,IF($W$16=5,BJ17,IF($W$16=6,BQ17,IF($W$16=7,BX17,IF($W$16=8,CE17))))))))</f>
        <v>a</v>
      </c>
      <c r="AA17" s="115">
        <f t="shared" ref="AA17:AA21" si="6">IF($W$16=1,AI17,IF($W$16=2,AP17,IF($W$16=3,AW17,IF($W$16=4,BD17,IF($W$16=5,BK17,IF($W$16=6,BR17,IF($W$16=7,BY17,IF($W$16=8,CF17))))))))</f>
        <v>26.5</v>
      </c>
      <c r="AB17" s="115">
        <f t="shared" ref="AB17:AB21" si="7">IF($W$16=1,AJ17,IF($W$16=2,AQ17,IF($W$16=3,AX17,IF($W$16=4,BE17,IF($W$16=5,BL17,IF($W$16=6,BS17,IF($W$16=7,BZ17,IF($W$16=8,CG17))))))))</f>
        <v>1.6</v>
      </c>
      <c r="AC17" s="115">
        <f t="shared" ref="AC17:AC21" si="8">IF($W$16=1,AK17,IF($W$16=2,AR17,IF($W$16=3,AY17,IF($W$16=4,BF17,IF($W$16=5,BM17,IF($W$16=6,BT17,IF($W$16=7,CA17,IF($W$16=8,CH17))))))))</f>
        <v>64</v>
      </c>
      <c r="AD17" s="116" t="s">
        <v>59</v>
      </c>
      <c r="AE17" s="113">
        <v>-5.6967122009921357E-2</v>
      </c>
      <c r="AF17" s="115" t="s">
        <v>28</v>
      </c>
      <c r="AG17" s="115"/>
      <c r="AH17" s="115" t="s">
        <v>28</v>
      </c>
      <c r="AI17" s="117">
        <v>27</v>
      </c>
      <c r="AJ17" s="117">
        <v>1.6</v>
      </c>
      <c r="AK17" s="115">
        <v>70</v>
      </c>
      <c r="AL17" s="113"/>
      <c r="AM17" s="115" t="s">
        <v>28</v>
      </c>
      <c r="AN17" s="115"/>
      <c r="AO17" s="115" t="s">
        <v>28</v>
      </c>
      <c r="AP17" s="117">
        <f>AI17</f>
        <v>27</v>
      </c>
      <c r="AQ17" s="117">
        <v>1.8</v>
      </c>
      <c r="AR17" s="118">
        <v>32</v>
      </c>
      <c r="AS17" s="113">
        <v>7.4263626519463083E-3</v>
      </c>
      <c r="AT17" s="115" t="s">
        <v>28</v>
      </c>
      <c r="AU17" s="115"/>
      <c r="AV17" s="115" t="s">
        <v>28</v>
      </c>
      <c r="AW17" s="117">
        <v>26.5</v>
      </c>
      <c r="AX17" s="117">
        <f>AJ17</f>
        <v>1.6</v>
      </c>
      <c r="AY17" s="118">
        <v>64</v>
      </c>
      <c r="AZ17" s="113">
        <v>-0.30147360997762745</v>
      </c>
      <c r="BA17" s="115" t="s">
        <v>28</v>
      </c>
      <c r="BB17" s="115"/>
      <c r="BC17" s="115" t="s">
        <v>28</v>
      </c>
      <c r="BD17" s="117">
        <f>AW17</f>
        <v>26.5</v>
      </c>
      <c r="BE17" s="117">
        <f>AQ17</f>
        <v>1.8</v>
      </c>
      <c r="BF17" s="118">
        <v>29</v>
      </c>
      <c r="BG17" s="113">
        <v>0.69809556564507336</v>
      </c>
      <c r="BH17" s="115" t="s">
        <v>28</v>
      </c>
      <c r="BI17" s="115">
        <v>-5.708272495290441E-2</v>
      </c>
      <c r="BJ17" s="115" t="s">
        <v>28</v>
      </c>
      <c r="BK17" s="117">
        <v>29</v>
      </c>
      <c r="BL17" s="117">
        <v>2</v>
      </c>
      <c r="BM17" s="118">
        <v>89</v>
      </c>
      <c r="BN17" s="113"/>
      <c r="BO17" s="115" t="s">
        <v>28</v>
      </c>
      <c r="BP17" s="115">
        <v>4.6731123246244316E-2</v>
      </c>
      <c r="BQ17" s="115" t="s">
        <v>28</v>
      </c>
      <c r="BR17" s="117">
        <f>BK17</f>
        <v>29</v>
      </c>
      <c r="BS17" s="117">
        <v>1.6</v>
      </c>
      <c r="BT17" s="118">
        <v>30</v>
      </c>
      <c r="BU17" s="113"/>
      <c r="BV17" s="115" t="s">
        <v>28</v>
      </c>
      <c r="BW17" s="115">
        <v>-1.0144326001132824E-3</v>
      </c>
      <c r="BX17" s="115" t="s">
        <v>28</v>
      </c>
      <c r="BY17" s="115">
        <v>27.2</v>
      </c>
      <c r="BZ17" s="117">
        <f>BL17</f>
        <v>2</v>
      </c>
      <c r="CA17" s="118">
        <v>81</v>
      </c>
      <c r="CB17" s="115">
        <v>-0.24292209682737784</v>
      </c>
      <c r="CC17" s="115" t="s">
        <v>28</v>
      </c>
      <c r="CD17" s="115"/>
      <c r="CE17" s="115" t="s">
        <v>28</v>
      </c>
      <c r="CF17" s="115">
        <f>BY17</f>
        <v>27.2</v>
      </c>
      <c r="CG17" s="117">
        <f>BS17</f>
        <v>1.6</v>
      </c>
      <c r="CH17" s="118">
        <v>27</v>
      </c>
    </row>
    <row r="18" spans="2:86" ht="15" x14ac:dyDescent="0.25">
      <c r="B18" s="70">
        <v>0.4</v>
      </c>
      <c r="C18" s="71">
        <v>4</v>
      </c>
      <c r="D18" s="72">
        <f>(($W$17*$C18^4+$W$18*$C18^3+$W$19*$C18^2+$W$20*$C18+$W$21)*((((Tv_heat-Tr_heat)/LN((Tv_heat-Tl_heat)/(Tr_heat-Tl_heat)))/((75-65)/LN((75-20)/(65-20))))^1))*$D$14*$AA$11</f>
        <v>1034.5570615128618</v>
      </c>
      <c r="E18" s="95">
        <f>ROUND(((D18/$D$14)/((Tv_heat-Tr_heat)*1.163))*$E$14,IF($W$4=1,0,IF($W$4=2,2)))</f>
        <v>89</v>
      </c>
      <c r="F18" s="74">
        <f t="shared" ref="F18:F21" si="9">($X$18*(E18/$E$14)^$X$20)*$F$14</f>
        <v>0.2360939438701031</v>
      </c>
      <c r="G18" s="73">
        <f>(($Y$17*$C18^4+$Y$18*$C18^3+$Y$19*$C18^2+$Y$20*$C18+$Y$21)*((((Tv_cool-Tr_cool)/LN((Tv_cool-Tl_cool)/(Tr_cool-Tl_cool)))/((16-18)/LN((16-27)/(18-27))))^S18))*$G$14*$AA$11</f>
        <v>186.22089368908536</v>
      </c>
      <c r="H18" s="73">
        <f>((G18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18+0.001448)*(Tl_cool-((Tv_cool+Tr_cool)/2))+(0.016908*$C18-0.033574))*1.039&gt;1,1,1/(1+((2258*((0.622/((p_atm/(1*611*EXP(17.27*(((Tv_cool+Tr_cool)/2)/(((Tv_cool+Tr_cool)/2)+237.3))))))-1)*1000-(0.622/((p_atm/(RH*611*EXP(17.27*(Tl_cool/(Tl_cool+237.3))))))-1)*1000))/(1005*(((Tv_cool+Tr_cool)/2)-Tl_cool))))*1.039+((-0.000729*$C18+0.001448)*(Tl_cool-((Tv_cool+Tr_cool)/2))+(0.016908*$C18-0.033574))*1.039))))*$H$14</f>
        <v>223.30589330196105</v>
      </c>
      <c r="I18" s="95">
        <f>ROUND(((H18/$H$14)/((Tr_cool-Tv_cool)*1.163))*$I$14,IF($W$4=1,0,IF($W$4=2,2)))</f>
        <v>32</v>
      </c>
      <c r="J18" s="75">
        <f t="shared" ref="J18:J21" si="10">($Z$18*(I18/$I$14)^$Z$20)*$J$14</f>
        <v>3.6102181928819276E-2</v>
      </c>
      <c r="K18" s="93">
        <f t="shared" ref="K18:K21" si="11">L18-8</f>
        <v>29.4</v>
      </c>
      <c r="L18" s="90">
        <f t="shared" ref="L18:L21" si="12">AA18</f>
        <v>37.4</v>
      </c>
      <c r="M18" s="76">
        <f t="shared" ref="M18:M21" si="13">AB18</f>
        <v>2.6</v>
      </c>
      <c r="N18" s="100">
        <f t="shared" ref="N18:N21" si="14">AC18*$N$14</f>
        <v>101</v>
      </c>
      <c r="O18" s="76">
        <f>(Tl_heat+(($D18/$G$14)/(1006*$N18*$K$14)))*(0.05*$C18+0.7)*$M$14+$O$14</f>
        <v>45.400192765495731</v>
      </c>
      <c r="P18" s="161">
        <f>(Tl_cool-(($G18/$G$14)/(1006*$N18*$K$14)))*$M$14+$O$14</f>
        <v>19.519943124707005</v>
      </c>
      <c r="Q18" s="61"/>
      <c r="S18" s="104">
        <v>1</v>
      </c>
      <c r="W18" s="119">
        <f t="shared" ref="W18:W21" si="15">IF($W$16=1,AE18,IF($W$16=2,AL18,IF($W$16=3,AS18,IF($W$16=4,AZ18,IF($W$16=5,BG18,IF($W$16=6,BN18,IF($W$16=7,BU18,IF($W$16=8,CB18))))))))</f>
        <v>0.21173876801715211</v>
      </c>
      <c r="X18" s="120">
        <f t="shared" si="3"/>
        <v>6.2276819636539519E-5</v>
      </c>
      <c r="Y18" s="120">
        <f t="shared" si="4"/>
        <v>-3.0099755140858282E-2</v>
      </c>
      <c r="Z18" s="120">
        <f t="shared" si="5"/>
        <v>6.2276819636539519E-5</v>
      </c>
      <c r="AA18" s="120">
        <f t="shared" si="6"/>
        <v>37.4</v>
      </c>
      <c r="AB18" s="120">
        <f t="shared" si="7"/>
        <v>2.6</v>
      </c>
      <c r="AC18" s="120">
        <f t="shared" si="8"/>
        <v>101</v>
      </c>
      <c r="AD18" s="121" t="s">
        <v>60</v>
      </c>
      <c r="AE18" s="119">
        <v>2.158567173060117</v>
      </c>
      <c r="AF18" s="120">
        <v>6.2276819636539519E-5</v>
      </c>
      <c r="AG18" s="120"/>
      <c r="AH18" s="120">
        <f>AF18</f>
        <v>6.2276819636539519E-5</v>
      </c>
      <c r="AI18" s="122">
        <v>33.200000000000003</v>
      </c>
      <c r="AJ18" s="122">
        <v>2.6</v>
      </c>
      <c r="AK18" s="120">
        <v>111</v>
      </c>
      <c r="AL18" s="119">
        <v>0.5102383173034456</v>
      </c>
      <c r="AM18" s="120">
        <f>AF18</f>
        <v>6.2276819636539519E-5</v>
      </c>
      <c r="AN18" s="120"/>
      <c r="AO18" s="120">
        <f>AH18</f>
        <v>6.2276819636539519E-5</v>
      </c>
      <c r="AP18" s="122">
        <f t="shared" ref="AP18:AP21" si="16">AI18</f>
        <v>33.200000000000003</v>
      </c>
      <c r="AQ18" s="122">
        <v>3</v>
      </c>
      <c r="AR18" s="123">
        <v>67</v>
      </c>
      <c r="AS18" s="119">
        <v>0.21173876801715211</v>
      </c>
      <c r="AT18" s="120">
        <f>AF18</f>
        <v>6.2276819636539519E-5</v>
      </c>
      <c r="AU18" s="120">
        <v>-3.0099755140858282E-2</v>
      </c>
      <c r="AV18" s="120">
        <f>AO18</f>
        <v>6.2276819636539519E-5</v>
      </c>
      <c r="AW18" s="122">
        <v>37.4</v>
      </c>
      <c r="AX18" s="122">
        <f t="shared" ref="AX18:AX21" si="17">AJ18</f>
        <v>2.6</v>
      </c>
      <c r="AY18" s="123">
        <v>101</v>
      </c>
      <c r="AZ18" s="119">
        <v>8.050935653010697</v>
      </c>
      <c r="BA18" s="120">
        <f>AF18</f>
        <v>6.2276819636539519E-5</v>
      </c>
      <c r="BB18" s="120"/>
      <c r="BC18" s="120">
        <f>AH18</f>
        <v>6.2276819636539519E-5</v>
      </c>
      <c r="BD18" s="122">
        <f t="shared" ref="BD18:BD21" si="18">AW18</f>
        <v>37.4</v>
      </c>
      <c r="BE18" s="122">
        <f t="shared" ref="BE18:BE21" si="19">AQ18</f>
        <v>3</v>
      </c>
      <c r="BF18" s="123">
        <v>61</v>
      </c>
      <c r="BG18" s="119">
        <v>-17.609691863971744</v>
      </c>
      <c r="BH18" s="120">
        <v>1.3263547865279744E-4</v>
      </c>
      <c r="BI18" s="120">
        <v>1.0825592582312564</v>
      </c>
      <c r="BJ18" s="120">
        <f>BH18</f>
        <v>1.3263547865279744E-4</v>
      </c>
      <c r="BK18" s="122">
        <v>35</v>
      </c>
      <c r="BL18" s="122">
        <v>3.2</v>
      </c>
      <c r="BM18" s="123">
        <v>130</v>
      </c>
      <c r="BN18" s="119">
        <v>0.30180788538547859</v>
      </c>
      <c r="BO18" s="120">
        <f>AF18</f>
        <v>6.2276819636539519E-5</v>
      </c>
      <c r="BP18" s="120">
        <v>-1.1964457007881224</v>
      </c>
      <c r="BQ18" s="120">
        <f>BJ18</f>
        <v>1.3263547865279744E-4</v>
      </c>
      <c r="BR18" s="122">
        <f t="shared" ref="BR18:BR21" si="20">BK18</f>
        <v>35</v>
      </c>
      <c r="BS18" s="122">
        <v>2.2000000000000002</v>
      </c>
      <c r="BT18" s="123">
        <v>74</v>
      </c>
      <c r="BU18" s="119"/>
      <c r="BV18" s="120">
        <f>BH18</f>
        <v>1.3263547865279744E-4</v>
      </c>
      <c r="BW18" s="120">
        <v>-2.0070321215289355E-3</v>
      </c>
      <c r="BX18" s="120">
        <f>BJ18</f>
        <v>1.3263547865279744E-4</v>
      </c>
      <c r="BY18" s="120">
        <v>33.200000000000003</v>
      </c>
      <c r="BZ18" s="122">
        <f t="shared" ref="BZ18:BZ21" si="21">BL18</f>
        <v>3.2</v>
      </c>
      <c r="CA18" s="123">
        <v>118</v>
      </c>
      <c r="CB18" s="120">
        <v>6.2288044399788918</v>
      </c>
      <c r="CC18" s="120">
        <f>BO18</f>
        <v>6.2276819636539519E-5</v>
      </c>
      <c r="CD18" s="120">
        <v>-0.10047556370896396</v>
      </c>
      <c r="CE18" s="120">
        <f>BQ18</f>
        <v>1.3263547865279744E-4</v>
      </c>
      <c r="CF18" s="120">
        <f t="shared" ref="CF18:CF21" si="22">BY18</f>
        <v>33.200000000000003</v>
      </c>
      <c r="CG18" s="122">
        <f t="shared" ref="CG18:CG21" si="23">BS18</f>
        <v>2.2000000000000002</v>
      </c>
      <c r="CH18" s="123">
        <v>67</v>
      </c>
    </row>
    <row r="19" spans="2:86" ht="15" x14ac:dyDescent="0.25">
      <c r="B19" s="70">
        <v>0.6</v>
      </c>
      <c r="C19" s="71">
        <v>6</v>
      </c>
      <c r="D19" s="72">
        <f>(($W$17*$C19^4+$W$18*$C19^3+$W$19*$C19^2+$W$20*$C19+$W$21)*((((Tv_heat-Tr_heat)/LN((Tv_heat-Tl_heat)/(Tr_heat-Tl_heat)))/((75-65)/LN((75-20)/(65-20))))^1))*$D$14*$AA$11</f>
        <v>1194.3093068594899</v>
      </c>
      <c r="E19" s="95">
        <f>ROUND(((D19/$D$14)/((Tv_heat-Tr_heat)*1.163))*$E$14,IF($W$4=1,0,IF($W$4=2,2)))</f>
        <v>103</v>
      </c>
      <c r="F19" s="74">
        <f t="shared" si="9"/>
        <v>0.30871907985679409</v>
      </c>
      <c r="G19" s="73">
        <f>(($Y$17*$C19^4+$Y$18*$C19^3+$Y$19*$C19^2+$Y$20*$C19+$Y$21)*((((Tv_cool-Tr_cool)/LN((Tv_cool-Tl_cool)/(Tr_cool-Tl_cool)))/((16-18)/LN((16-27)/(18-27))))^S19))*$G$14*$AA$11</f>
        <v>219.19736657449309</v>
      </c>
      <c r="H19" s="73">
        <f>((G19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19+0.001448)*(Tl_cool-((Tv_cool+Tr_cool)/2))+(0.016908*$C19-0.033574))*1.039&gt;1,1,1/(1+((2258*((0.622/((p_atm/(1*611*EXP(17.27*(((Tv_cool+Tr_cool)/2)/(((Tv_cool+Tr_cool)/2)+237.3))))))-1)*1000-(0.622/((p_atm/(RH*611*EXP(17.27*(Tl_cool/(Tl_cool+237.3))))))-1)*1000))/(1005*(((Tv_cool+Tr_cool)/2)-Tl_cool))))*1.039+((-0.000729*$C19+0.001448)*(Tl_cool-((Tv_cool+Tr_cool)/2))+(0.016908*$C19-0.033574))*1.039))))*$H$14</f>
        <v>258.53193713791353</v>
      </c>
      <c r="I19" s="95">
        <f>ROUND(((H19/$H$14)/((Tr_cool-Tv_cool)*1.163))*$I$14,IF($W$4=1,0,IF($W$4=2,2)))</f>
        <v>37</v>
      </c>
      <c r="J19" s="75">
        <f t="shared" si="10"/>
        <v>4.7128764278136212E-2</v>
      </c>
      <c r="K19" s="93">
        <f t="shared" si="11"/>
        <v>31.299999999999997</v>
      </c>
      <c r="L19" s="90">
        <f t="shared" si="12"/>
        <v>39.299999999999997</v>
      </c>
      <c r="M19" s="76">
        <f t="shared" si="13"/>
        <v>4.3</v>
      </c>
      <c r="N19" s="100">
        <f t="shared" si="14"/>
        <v>141</v>
      </c>
      <c r="O19" s="76">
        <f>(Tl_heat+(($D19/$G$14)/(1006*$N19*$K$14)))*(0.05*$C19+0.7)*$M$14+$O$14</f>
        <v>45.175362756510168</v>
      </c>
      <c r="P19" s="161">
        <f>(Tl_cool-(($G19/$G$14)/(1006*$N19*$K$14)))*$M$14+$O$14</f>
        <v>20.379443844998995</v>
      </c>
      <c r="Q19" s="61"/>
      <c r="S19" s="104">
        <v>1</v>
      </c>
      <c r="W19" s="119">
        <f t="shared" si="15"/>
        <v>0.19489833199562701</v>
      </c>
      <c r="X19" s="114" t="str">
        <f t="shared" si="3"/>
        <v>b</v>
      </c>
      <c r="Y19" s="120">
        <f t="shared" si="4"/>
        <v>0.93056078652448071</v>
      </c>
      <c r="Z19" s="114" t="str">
        <f t="shared" si="5"/>
        <v>b</v>
      </c>
      <c r="AA19" s="120">
        <f t="shared" si="6"/>
        <v>39.299999999999997</v>
      </c>
      <c r="AB19" s="120">
        <f t="shared" si="7"/>
        <v>4.3</v>
      </c>
      <c r="AC19" s="120">
        <f t="shared" si="8"/>
        <v>141</v>
      </c>
      <c r="AD19" s="121" t="s">
        <v>61</v>
      </c>
      <c r="AE19" s="119">
        <v>-18.897288796430164</v>
      </c>
      <c r="AF19" s="120" t="s">
        <v>29</v>
      </c>
      <c r="AG19" s="120">
        <v>0.10373635238004372</v>
      </c>
      <c r="AH19" s="120" t="s">
        <v>29</v>
      </c>
      <c r="AI19" s="122">
        <v>40.5</v>
      </c>
      <c r="AJ19" s="122">
        <v>4.3</v>
      </c>
      <c r="AK19" s="120">
        <v>155</v>
      </c>
      <c r="AL19" s="119">
        <v>-4.1131146289079608</v>
      </c>
      <c r="AM19" s="120" t="s">
        <v>29</v>
      </c>
      <c r="AN19" s="120">
        <v>0.2246738635684899</v>
      </c>
      <c r="AO19" s="120" t="s">
        <v>29</v>
      </c>
      <c r="AP19" s="122">
        <f t="shared" si="16"/>
        <v>40.5</v>
      </c>
      <c r="AQ19" s="122">
        <v>4.8</v>
      </c>
      <c r="AR19" s="123">
        <v>95</v>
      </c>
      <c r="AS19" s="119">
        <v>0.19489833199562701</v>
      </c>
      <c r="AT19" s="120" t="s">
        <v>29</v>
      </c>
      <c r="AU19" s="120">
        <v>0.93056078652448071</v>
      </c>
      <c r="AV19" s="120" t="s">
        <v>29</v>
      </c>
      <c r="AW19" s="122">
        <v>39.299999999999997</v>
      </c>
      <c r="AX19" s="122">
        <f t="shared" si="17"/>
        <v>4.3</v>
      </c>
      <c r="AY19" s="123">
        <v>141</v>
      </c>
      <c r="AZ19" s="119">
        <v>-70.674841607023481</v>
      </c>
      <c r="BA19" s="120" t="s">
        <v>29</v>
      </c>
      <c r="BB19" s="120">
        <v>0.21600510650865656</v>
      </c>
      <c r="BC19" s="120" t="s">
        <v>29</v>
      </c>
      <c r="BD19" s="122">
        <f t="shared" si="18"/>
        <v>39.299999999999997</v>
      </c>
      <c r="BE19" s="122">
        <f t="shared" si="19"/>
        <v>4.8</v>
      </c>
      <c r="BF19" s="123">
        <v>86</v>
      </c>
      <c r="BG19" s="119">
        <v>154.95813256389033</v>
      </c>
      <c r="BH19" s="120" t="s">
        <v>29</v>
      </c>
      <c r="BI19" s="120">
        <v>-6.1452575712695774</v>
      </c>
      <c r="BJ19" s="120" t="s">
        <v>29</v>
      </c>
      <c r="BK19" s="122">
        <v>41.9</v>
      </c>
      <c r="BL19" s="122">
        <v>5.5</v>
      </c>
      <c r="BM19" s="123">
        <v>169</v>
      </c>
      <c r="BN19" s="119">
        <v>-1.1470727585609135</v>
      </c>
      <c r="BO19" s="120" t="s">
        <v>29</v>
      </c>
      <c r="BP19" s="120">
        <v>10.648506478498899</v>
      </c>
      <c r="BQ19" s="120" t="s">
        <v>29</v>
      </c>
      <c r="BR19" s="122">
        <f t="shared" si="20"/>
        <v>41.9</v>
      </c>
      <c r="BS19" s="122">
        <v>3.6</v>
      </c>
      <c r="BT19" s="123">
        <v>118</v>
      </c>
      <c r="BU19" s="119">
        <v>-0.35663575157485938</v>
      </c>
      <c r="BV19" s="120" t="s">
        <v>29</v>
      </c>
      <c r="BW19" s="120">
        <v>-7.2116473746031196E-2</v>
      </c>
      <c r="BX19" s="120" t="s">
        <v>29</v>
      </c>
      <c r="BY19" s="120">
        <v>40.200000000000003</v>
      </c>
      <c r="BZ19" s="122">
        <f t="shared" si="21"/>
        <v>5.5</v>
      </c>
      <c r="CA19" s="123">
        <v>154</v>
      </c>
      <c r="CB19" s="120">
        <v>-50.901906972048394</v>
      </c>
      <c r="CC19" s="120" t="s">
        <v>29</v>
      </c>
      <c r="CD19" s="120">
        <v>1.8516402222660224</v>
      </c>
      <c r="CE19" s="120" t="s">
        <v>29</v>
      </c>
      <c r="CF19" s="120">
        <f t="shared" si="22"/>
        <v>40.200000000000003</v>
      </c>
      <c r="CG19" s="122">
        <f t="shared" si="23"/>
        <v>3.6</v>
      </c>
      <c r="CH19" s="123">
        <v>107</v>
      </c>
    </row>
    <row r="20" spans="2:86" ht="15" x14ac:dyDescent="0.25">
      <c r="B20" s="70">
        <v>0.8</v>
      </c>
      <c r="C20" s="71">
        <v>8</v>
      </c>
      <c r="D20" s="72">
        <f>(($W$17*$C20^4+$W$18*$C20^3+$W$19*$C20^2+$W$20*$C20+$W$21)*((((Tv_heat-Tr_heat)/LN((Tv_heat-Tl_heat)/(Tr_heat-Tl_heat)))/((75-65)/LN((75-20)/(65-20))))^1))*$D$14*$AA$11</f>
        <v>1399.1815197239785</v>
      </c>
      <c r="E20" s="95">
        <f>ROUND(((D20/$D$14)/((Tv_heat-Tr_heat)*1.163))*$E$14,IF($W$4=1,0,IF($W$4=2,2)))</f>
        <v>120</v>
      </c>
      <c r="F20" s="74">
        <f t="shared" si="9"/>
        <v>0.40865813454100908</v>
      </c>
      <c r="G20" s="73">
        <f>(($Y$17*$C20^4+$Y$18*$C20^3+$Y$19*$C20^2+$Y$20*$C20+$Y$21)*((((Tv_cool-Tr_cool)/LN((Tv_cool-Tl_cool)/(Tr_cool-Tl_cool)))/((16-18)/LN((16-27)/(18-27))))^S20))*$G$14*$AA$11</f>
        <v>256.47490318319649</v>
      </c>
      <c r="H20" s="73">
        <f>((G20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20+0.001448)*(Tl_cool-((Tv_cool+Tr_cool)/2))+(0.016908*$C20-0.033574))*1.039&gt;1,1,1/(1+((2258*((0.622/((p_atm/(1*611*EXP(17.27*(((Tv_cool+Tr_cool)/2)/(((Tv_cool+Tr_cool)/2)+237.3))))))-1)*1000-(0.622/((p_atm/(RH*611*EXP(17.27*(Tl_cool/(Tl_cool+237.3))))))-1)*1000))/(1005*(((Tv_cool+Tr_cool)/2)-Tl_cool))))*1.039+((-0.000729*$C20+0.001448)*(Tl_cool-((Tv_cool+Tr_cool)/2))+(0.016908*$C20-0.033574))*1.039))))*$H$14</f>
        <v>297.61034623642939</v>
      </c>
      <c r="I20" s="95">
        <f>ROUND(((H20/$H$14)/((Tr_cool-Tv_cool)*1.163))*$I$14,IF($W$4=1,0,IF($W$4=2,2)))</f>
        <v>43</v>
      </c>
      <c r="J20" s="75">
        <f t="shared" si="10"/>
        <v>6.2101916551399849E-2</v>
      </c>
      <c r="K20" s="93">
        <f t="shared" si="11"/>
        <v>37.299999999999997</v>
      </c>
      <c r="L20" s="90">
        <f t="shared" si="12"/>
        <v>45.3</v>
      </c>
      <c r="M20" s="76">
        <f t="shared" si="13"/>
        <v>7.2</v>
      </c>
      <c r="N20" s="100">
        <f t="shared" si="14"/>
        <v>178</v>
      </c>
      <c r="O20" s="76">
        <f>(Tl_heat+(($D20/$G$14)/(1006*$N20*$K$14)))*(0.05*$C20+0.7)*$M$14+$O$14</f>
        <v>47.69950606055594</v>
      </c>
      <c r="P20" s="161">
        <f>(Tl_cool-(($G20/$G$14)/(1006*$N20*$K$14)))*$M$14+$O$14</f>
        <v>20.717445432580575</v>
      </c>
      <c r="Q20" s="61"/>
      <c r="S20" s="104">
        <v>1</v>
      </c>
      <c r="W20" s="119">
        <f t="shared" si="15"/>
        <v>57.973284405042172</v>
      </c>
      <c r="X20" s="120">
        <f t="shared" si="3"/>
        <v>1.8358350093844202</v>
      </c>
      <c r="Y20" s="120">
        <f t="shared" si="4"/>
        <v>4.9047030669294314</v>
      </c>
      <c r="Z20" s="120">
        <f t="shared" si="5"/>
        <v>1.8358350093844202</v>
      </c>
      <c r="AA20" s="120">
        <f t="shared" si="6"/>
        <v>45.3</v>
      </c>
      <c r="AB20" s="120">
        <f t="shared" si="7"/>
        <v>7.2</v>
      </c>
      <c r="AC20" s="120">
        <f t="shared" si="8"/>
        <v>178</v>
      </c>
      <c r="AD20" s="121" t="s">
        <v>62</v>
      </c>
      <c r="AE20" s="119">
        <v>134.69984250871585</v>
      </c>
      <c r="AF20" s="120">
        <v>1.8358350093844202</v>
      </c>
      <c r="AG20" s="120">
        <v>14.045470041924725</v>
      </c>
      <c r="AH20" s="120">
        <f>AF20</f>
        <v>1.8358350093844202</v>
      </c>
      <c r="AI20" s="122">
        <v>47</v>
      </c>
      <c r="AJ20" s="122">
        <v>7.2</v>
      </c>
      <c r="AK20" s="120">
        <v>196</v>
      </c>
      <c r="AL20" s="119">
        <v>69.712592547323396</v>
      </c>
      <c r="AM20" s="120">
        <f>AF20</f>
        <v>1.8358350093844202</v>
      </c>
      <c r="AN20" s="120">
        <v>8.2877720139951929</v>
      </c>
      <c r="AO20" s="120">
        <f>AH20</f>
        <v>1.8358350093844202</v>
      </c>
      <c r="AP20" s="122">
        <f t="shared" si="16"/>
        <v>47</v>
      </c>
      <c r="AQ20" s="122">
        <v>8</v>
      </c>
      <c r="AR20" s="123">
        <v>128</v>
      </c>
      <c r="AS20" s="119">
        <v>57.973284405042172</v>
      </c>
      <c r="AT20" s="120">
        <f>AF20</f>
        <v>1.8358350093844202</v>
      </c>
      <c r="AU20" s="120">
        <v>4.9047030669294314</v>
      </c>
      <c r="AV20" s="120">
        <f>AO20</f>
        <v>1.8358350093844202</v>
      </c>
      <c r="AW20" s="122">
        <v>45.3</v>
      </c>
      <c r="AX20" s="122">
        <f t="shared" si="17"/>
        <v>7.2</v>
      </c>
      <c r="AY20" s="123">
        <v>178</v>
      </c>
      <c r="AZ20" s="119">
        <v>305.78049129814406</v>
      </c>
      <c r="BA20" s="120">
        <f>AF20</f>
        <v>1.8358350093844202</v>
      </c>
      <c r="BB20" s="120">
        <v>7.2063340139581697</v>
      </c>
      <c r="BC20" s="120">
        <f>AH20</f>
        <v>1.8358350093844202</v>
      </c>
      <c r="BD20" s="122">
        <f t="shared" si="18"/>
        <v>45.3</v>
      </c>
      <c r="BE20" s="122">
        <f t="shared" si="19"/>
        <v>8</v>
      </c>
      <c r="BF20" s="123">
        <v>116</v>
      </c>
      <c r="BG20" s="119">
        <v>-394.97241741556002</v>
      </c>
      <c r="BH20" s="120">
        <v>1.8136893271096062</v>
      </c>
      <c r="BI20" s="120">
        <v>31.006808805567498</v>
      </c>
      <c r="BJ20" s="120">
        <f>BH20</f>
        <v>1.8136893271096062</v>
      </c>
      <c r="BK20" s="122">
        <v>47.7</v>
      </c>
      <c r="BL20" s="122">
        <v>9.6</v>
      </c>
      <c r="BM20" s="123">
        <v>212</v>
      </c>
      <c r="BN20" s="119">
        <v>40.965304033730064</v>
      </c>
      <c r="BO20" s="120">
        <f>AF20</f>
        <v>1.8358350093844202</v>
      </c>
      <c r="BP20" s="120">
        <v>-22.923095474991928</v>
      </c>
      <c r="BQ20" s="120">
        <f>BJ20</f>
        <v>1.8136893271096062</v>
      </c>
      <c r="BR20" s="122">
        <f t="shared" si="20"/>
        <v>47.7</v>
      </c>
      <c r="BS20" s="122">
        <v>6.3</v>
      </c>
      <c r="BT20" s="123">
        <v>151</v>
      </c>
      <c r="BU20" s="119">
        <v>152.87981581044934</v>
      </c>
      <c r="BV20" s="120">
        <f>BH20</f>
        <v>1.8136893271096062</v>
      </c>
      <c r="BW20" s="120">
        <v>22.687985802451447</v>
      </c>
      <c r="BX20" s="120">
        <f>BJ20</f>
        <v>1.8136893271096062</v>
      </c>
      <c r="BY20" s="120">
        <v>46.1</v>
      </c>
      <c r="BZ20" s="122">
        <f t="shared" si="21"/>
        <v>9.6</v>
      </c>
      <c r="CA20" s="123">
        <v>193</v>
      </c>
      <c r="CB20" s="120">
        <v>203.12988403023203</v>
      </c>
      <c r="CC20" s="120">
        <f>BO20</f>
        <v>1.8358350093844202</v>
      </c>
      <c r="CD20" s="120">
        <v>4.1514201576003273</v>
      </c>
      <c r="CE20" s="120">
        <f>BQ20</f>
        <v>1.8136893271096062</v>
      </c>
      <c r="CF20" s="120">
        <f t="shared" si="22"/>
        <v>46.1</v>
      </c>
      <c r="CG20" s="122">
        <f t="shared" si="23"/>
        <v>6.3</v>
      </c>
      <c r="CH20" s="123">
        <v>137</v>
      </c>
    </row>
    <row r="21" spans="2:86" ht="15" x14ac:dyDescent="0.25">
      <c r="B21" s="70">
        <v>1</v>
      </c>
      <c r="C21" s="71">
        <v>10</v>
      </c>
      <c r="D21" s="72">
        <f>(($W$17*$C21^4+$W$18*$C21^3+$W$19*$C21^2+$W$20*$C21+$W$21)*((((Tv_heat-Tr_heat)/LN((Tv_heat-Tl_heat)/(Tr_heat-Tl_heat)))/((75-65)/LN((75-20)/(65-20))))^1))*$D$14*$AA$11</f>
        <v>1669.3181923753664</v>
      </c>
      <c r="E21" s="95">
        <f>ROUND(((D21/$D$14)/((Tv_heat-Tr_heat)*1.163))*$E$14,IF($W$4=1,0,IF($W$4=2,2)))</f>
        <v>144</v>
      </c>
      <c r="F21" s="74">
        <f t="shared" si="9"/>
        <v>0.57111537473791807</v>
      </c>
      <c r="G21" s="73">
        <f>(($Y$17*$C21^4+$Y$18*$C21^3+$Y$19*$C21^2+$Y$20*$C21+$Y$21)*((((Tv_cool-Tr_cool)/LN((Tv_cool-Tl_cool)/(Tr_cool-Tl_cool)))/((16-18)/LN((16-27)/(18-27))))^S21))*$G$14*$AA$11</f>
        <v>296.05547025113628</v>
      </c>
      <c r="H21" s="73">
        <f>((G21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21+0.001448)*(Tl_cool-((Tv_cool+Tr_cool)/2))+(0.016908*$C21-0.033574))*1.039&gt;1,1,1/(1+((2258*((0.622/((p_atm/(1*611*EXP(17.27*(((Tv_cool+Tr_cool)/2)/(((Tv_cool+Tr_cool)/2)+237.3))))))-1)*1000-(0.622/((p_atm/(RH*611*EXP(17.27*(Tl_cool/(Tl_cool+237.3))))))-1)*1000))/(1005*(((Tv_cool+Tr_cool)/2)-Tl_cool))))*1.039+((-0.000729*$C21+0.001448)*(Tl_cool-((Tv_cool+Tr_cool)/2))+(0.016908*$C21-0.033574))*1.039))))*$H$14</f>
        <v>338.07570171524912</v>
      </c>
      <c r="I21" s="95">
        <f>ROUND(((H21/$H$14)/((Tr_cool-Tv_cool)*1.163))*$I$14,IF($W$4=1,0,IF($W$4=2,2)))</f>
        <v>48</v>
      </c>
      <c r="J21" s="75">
        <f t="shared" si="10"/>
        <v>7.5999012387659132E-2</v>
      </c>
      <c r="K21" s="93">
        <f t="shared" si="11"/>
        <v>42.5</v>
      </c>
      <c r="L21" s="90">
        <f t="shared" si="12"/>
        <v>50.5</v>
      </c>
      <c r="M21" s="76">
        <f t="shared" si="13"/>
        <v>13</v>
      </c>
      <c r="N21" s="100">
        <f t="shared" si="14"/>
        <v>214</v>
      </c>
      <c r="O21" s="76">
        <f>(Tl_heat+(($D21/$G$14)/(1006*$N21*$K$14)))*(0.05*$C21+0.7)*$M$14+$O$14</f>
        <v>51.821762068403658</v>
      </c>
      <c r="P21" s="161">
        <f>(Tl_cool-(($G21/$G$14)/(1006*$N21*$K$14)))*$M$14+$O$14</f>
        <v>20.888149180706382</v>
      </c>
      <c r="Q21" s="61"/>
      <c r="S21" s="104">
        <v>1</v>
      </c>
      <c r="W21" s="124">
        <f t="shared" si="15"/>
        <v>784.09312058876696</v>
      </c>
      <c r="X21" s="125">
        <f t="shared" si="3"/>
        <v>0</v>
      </c>
      <c r="Y21" s="126">
        <f t="shared" si="4"/>
        <v>102.07589640134984</v>
      </c>
      <c r="Z21" s="125">
        <f t="shared" si="5"/>
        <v>0</v>
      </c>
      <c r="AA21" s="126">
        <f t="shared" si="6"/>
        <v>50.5</v>
      </c>
      <c r="AB21" s="126">
        <f t="shared" si="7"/>
        <v>13</v>
      </c>
      <c r="AC21" s="126">
        <f t="shared" si="8"/>
        <v>214</v>
      </c>
      <c r="AD21" s="127" t="s">
        <v>63</v>
      </c>
      <c r="AE21" s="124">
        <v>789.86520915729454</v>
      </c>
      <c r="AF21" s="128"/>
      <c r="AG21" s="126">
        <v>84.485306398126156</v>
      </c>
      <c r="AH21" s="128"/>
      <c r="AI21" s="129">
        <v>52</v>
      </c>
      <c r="AJ21" s="129">
        <v>13</v>
      </c>
      <c r="AK21" s="126">
        <v>235</v>
      </c>
      <c r="AL21" s="124">
        <v>672.41562351132109</v>
      </c>
      <c r="AM21" s="128"/>
      <c r="AN21" s="126">
        <v>82.549001284779564</v>
      </c>
      <c r="AO21" s="128"/>
      <c r="AP21" s="129">
        <f t="shared" si="16"/>
        <v>52</v>
      </c>
      <c r="AQ21" s="129">
        <v>13.7</v>
      </c>
      <c r="AR21" s="130">
        <v>157</v>
      </c>
      <c r="AS21" s="124">
        <v>784.09312058876696</v>
      </c>
      <c r="AT21" s="128"/>
      <c r="AU21" s="126">
        <v>102.07589640134984</v>
      </c>
      <c r="AV21" s="128"/>
      <c r="AW21" s="129">
        <v>50.5</v>
      </c>
      <c r="AX21" s="129">
        <f t="shared" si="17"/>
        <v>13</v>
      </c>
      <c r="AY21" s="130">
        <v>214</v>
      </c>
      <c r="AZ21" s="124">
        <v>309.52771297860744</v>
      </c>
      <c r="BA21" s="128"/>
      <c r="BB21" s="126">
        <v>77.128705162163683</v>
      </c>
      <c r="BC21" s="128"/>
      <c r="BD21" s="129">
        <f t="shared" si="18"/>
        <v>50.5</v>
      </c>
      <c r="BE21" s="129">
        <f t="shared" si="19"/>
        <v>13.7</v>
      </c>
      <c r="BF21" s="130">
        <v>143</v>
      </c>
      <c r="BG21" s="124">
        <v>1799.5703194869316</v>
      </c>
      <c r="BH21" s="128"/>
      <c r="BI21" s="126">
        <v>141.61893986654567</v>
      </c>
      <c r="BJ21" s="128"/>
      <c r="BK21" s="129">
        <v>52</v>
      </c>
      <c r="BL21" s="129">
        <v>16.8</v>
      </c>
      <c r="BM21" s="130">
        <v>250</v>
      </c>
      <c r="BN21" s="124">
        <v>560.42817330030061</v>
      </c>
      <c r="BO21" s="128"/>
      <c r="BP21" s="126">
        <v>155.29366792674551</v>
      </c>
      <c r="BQ21" s="128"/>
      <c r="BR21" s="129">
        <f t="shared" si="20"/>
        <v>52</v>
      </c>
      <c r="BS21" s="129">
        <v>10.3</v>
      </c>
      <c r="BT21" s="130">
        <v>188</v>
      </c>
      <c r="BU21" s="124">
        <v>1095.2128520064889</v>
      </c>
      <c r="BV21" s="128"/>
      <c r="BW21" s="126">
        <v>124.68763734693975</v>
      </c>
      <c r="BX21" s="128"/>
      <c r="BY21" s="126">
        <v>50.5</v>
      </c>
      <c r="BZ21" s="129">
        <f t="shared" si="21"/>
        <v>16.8</v>
      </c>
      <c r="CA21" s="130">
        <v>228</v>
      </c>
      <c r="CB21" s="120">
        <v>361.3522797245796</v>
      </c>
      <c r="CC21" s="131"/>
      <c r="CD21" s="120">
        <v>122.85501458041243</v>
      </c>
      <c r="CE21" s="131"/>
      <c r="CF21" s="120">
        <f t="shared" si="22"/>
        <v>50.5</v>
      </c>
      <c r="CG21" s="122">
        <f t="shared" si="23"/>
        <v>10.3</v>
      </c>
      <c r="CH21" s="123">
        <v>171</v>
      </c>
    </row>
    <row r="22" spans="2:86" ht="16.899999999999999" customHeight="1" x14ac:dyDescent="0.25">
      <c r="B22" s="301" t="str">
        <f>IF($S$7=1,NL!B22,IF(cal!$S$7=2,EN!B22,IF(cal!$S$7=3,DE!B22,IF(cal!$S$7=4,FR!B22,IF(cal!$S$7=5,NR!B22,IF(cal!$S$7=6,SP!B22,IF(cal!$S$7=7,SW!B22,IF(cal!$S$7=8,TS!B22,IF(cal!$S$7=9,ExtraTaal1!B22,IF(cal!$S$7=10,ExtraTaal2!B22,IF(cal!$S$7=11,ExtraTaal3!B22,)))))))))))</f>
        <v>Briza 12 hoogte 41 cm breedte 14 cm lengte 95 cm (Type 2)</v>
      </c>
      <c r="C22" s="302">
        <f>IF($S$7=1,NL!C22,IF(cal!$S$7=2,EN!C22,IF(cal!$S$7=3,DE!C22,IF(cal!$S$7=4,FR!C22,IF(cal!$S$7=5,NR!C22,IF(cal!$S$7=6,SP!C22,))))))</f>
        <v>0</v>
      </c>
      <c r="D22" s="302">
        <f>IF($S$7=1,NL!D22,IF(cal!$S$7=2,EN!D22,IF(cal!$S$7=3,DE!D22,IF(cal!$S$7=4,FR!D22,IF(cal!$S$7=5,NR!D22,IF(cal!$S$7=6,SP!D22,))))))</f>
        <v>0</v>
      </c>
      <c r="E22" s="302">
        <f>IF($S$7=1,NL!E22,IF(cal!$S$7=2,EN!E22,IF(cal!$S$7=3,DE!E22,IF(cal!$S$7=4,FR!E22,IF(cal!$S$7=5,NR!E22,IF(cal!$S$7=6,SP!E22,))))))</f>
        <v>0</v>
      </c>
      <c r="F22" s="302">
        <f>IF($S$7=1,NL!F22,IF(cal!$S$7=2,EN!F22,IF(cal!$S$7=3,DE!F22,IF(cal!$S$7=4,FR!F22,IF(cal!$S$7=5,NR!F22,IF(cal!$S$7=6,SP!F22,))))))</f>
        <v>0</v>
      </c>
      <c r="G22" s="302">
        <f>IF($S$7=1,NL!G22,IF(cal!$S$7=2,EN!G22,IF(cal!$S$7=3,DE!G22,IF(cal!$S$7=4,FR!G22,IF(cal!$S$7=5,NR!G22,IF(cal!$S$7=6,SP!G22,))))))</f>
        <v>0</v>
      </c>
      <c r="H22" s="302">
        <f>IF($S$7=1,NL!H22,IF(cal!$S$7=2,EN!H22,IF(cal!$S$7=3,DE!H22,IF(cal!$S$7=4,FR!H22,IF(cal!$S$7=5,NR!H22,IF(cal!$S$7=6,SP!H22,))))))</f>
        <v>0</v>
      </c>
      <c r="I22" s="302">
        <f>IF($S$7=1,NL!I22,IF(cal!$S$7=2,EN!I22,IF(cal!$S$7=3,DE!I22,IF(cal!$S$7=4,FR!I22,IF(cal!$S$7=5,NR!I22,IF(cal!$S$7=6,SP!I22,))))))</f>
        <v>0</v>
      </c>
      <c r="J22" s="302">
        <f>IF($S$7=1,NL!J22,IF(cal!$S$7=2,EN!J22,IF(cal!$S$7=3,DE!J22,IF(cal!$S$7=4,FR!J22,IF(cal!$S$7=5,NR!J22,IF(cal!$S$7=6,SP!J22,))))))</f>
        <v>0</v>
      </c>
      <c r="K22" s="302">
        <f>IF($S$7=1,NL!K22,IF(cal!$S$7=2,EN!K22,IF(cal!$S$7=3,DE!K22,IF(cal!$S$7=4,FR!K22,IF(cal!$S$7=5,NR!K22,IF(cal!$S$7=6,SP!K22,))))))</f>
        <v>0</v>
      </c>
      <c r="L22" s="302">
        <f>IF($S$7=1,NL!L22,IF(cal!$S$7=2,EN!L22,IF(cal!$S$7=3,DE!L22,IF(cal!$S$7=4,FR!L22,IF(cal!$S$7=5,NR!L22,IF(cal!$S$7=6,SP!L22,))))))</f>
        <v>0</v>
      </c>
      <c r="M22" s="302">
        <f>IF($S$7=1,NL!M22,IF(cal!$S$7=2,EN!M22,IF(cal!$S$7=3,DE!M22,IF(cal!$S$7=4,FR!M22,IF(cal!$S$7=5,NR!M22,IF(cal!$S$7=6,SP!M22,))))))</f>
        <v>0</v>
      </c>
      <c r="N22" s="302">
        <f>IF($S$7=1,NL!N22,IF(cal!$S$7=2,EN!N22,IF(cal!$S$7=3,DE!N22,IF(cal!$S$7=4,FR!N22,IF(cal!$S$7=5,NR!N22,IF(cal!$S$7=6,SP!N22,))))))</f>
        <v>0</v>
      </c>
      <c r="O22" s="302">
        <f>IF($S$7=1,NL!O22,IF(cal!$S$7=2,EN!O22,IF(cal!$S$7=3,DE!O22,IF(cal!$S$7=4,FR!O22,IF(cal!$S$7=5,NR!O22,IF(cal!$S$7=6,SP!O22,))))))</f>
        <v>0</v>
      </c>
      <c r="P22" s="303">
        <f>IF($S$7=1,NL!P22,IF(cal!$S$7=2,EN!P22,IF(cal!$S$7=3,DE!P22,IF(cal!$S$7=4,FR!P22,IF(cal!$S$7=5,NR!P22,IF(cal!$S$7=6,SP!P22,))))))</f>
        <v>0</v>
      </c>
      <c r="Q22" s="61"/>
      <c r="S22" s="88" t="s">
        <v>6</v>
      </c>
      <c r="W22" s="132" t="s">
        <v>40</v>
      </c>
      <c r="X22" s="133">
        <f t="shared" si="4"/>
        <v>41</v>
      </c>
      <c r="Y22" s="132" t="s">
        <v>41</v>
      </c>
      <c r="Z22" s="133">
        <f t="shared" si="4"/>
        <v>14</v>
      </c>
      <c r="AA22" s="132" t="s">
        <v>42</v>
      </c>
      <c r="AB22" s="134">
        <f t="shared" si="4"/>
        <v>75</v>
      </c>
      <c r="AC22" s="135"/>
      <c r="AD22" s="136"/>
      <c r="AE22" s="132" t="s">
        <v>40</v>
      </c>
      <c r="AF22" s="137">
        <f>38*IF($W$4=1,1,IF($W$4=2,1/2.54))</f>
        <v>38</v>
      </c>
      <c r="AG22" s="132" t="s">
        <v>41</v>
      </c>
      <c r="AH22" s="137">
        <f>12*IF($W$4=1,1,IF($W$4=2,1/2.54))</f>
        <v>12</v>
      </c>
      <c r="AI22" s="132" t="s">
        <v>42</v>
      </c>
      <c r="AJ22" s="263">
        <f>52*IF($W$4=1,1,IF($W$4=2,1/2.54))</f>
        <v>52</v>
      </c>
      <c r="AK22" s="138"/>
      <c r="AL22" s="132" t="s">
        <v>40</v>
      </c>
      <c r="AM22" s="137">
        <f>38*IF($W$4=1,1,IF($W$4=2,1/2.54))</f>
        <v>38</v>
      </c>
      <c r="AN22" s="132" t="s">
        <v>41</v>
      </c>
      <c r="AO22" s="137">
        <f>12*IF($W$4=1,1,IF($W$4=2,1/2.54))</f>
        <v>12</v>
      </c>
      <c r="AP22" s="132" t="s">
        <v>42</v>
      </c>
      <c r="AQ22" s="263">
        <f>52*IF($W$4=1,1,IF($W$4=2,1/2.54))</f>
        <v>52</v>
      </c>
      <c r="AR22" s="138"/>
      <c r="AS22" s="132" t="s">
        <v>40</v>
      </c>
      <c r="AT22" s="137">
        <f>41*IF($W$4=1,1,IF($W$4=2,1/2.54))</f>
        <v>41</v>
      </c>
      <c r="AU22" s="132" t="s">
        <v>41</v>
      </c>
      <c r="AV22" s="137">
        <f>14*IF($W$4=1,1,IF($W$4=2,1/2.54))</f>
        <v>14</v>
      </c>
      <c r="AW22" s="132" t="s">
        <v>42</v>
      </c>
      <c r="AX22" s="263">
        <f>75*IF($W$4=1,1,IF($W$4=2,1/2.54))</f>
        <v>75</v>
      </c>
      <c r="AY22" s="138"/>
      <c r="AZ22" s="132" t="s">
        <v>40</v>
      </c>
      <c r="BA22" s="137">
        <f>41*IF($W$4=1,1,IF($W$4=2,1/2.54))</f>
        <v>41</v>
      </c>
      <c r="BB22" s="132" t="s">
        <v>41</v>
      </c>
      <c r="BC22" s="137">
        <f>14*IF($W$4=1,1,IF($W$4=2,1/2.54))</f>
        <v>14</v>
      </c>
      <c r="BD22" s="132" t="s">
        <v>42</v>
      </c>
      <c r="BE22" s="136">
        <f>75*IF($W$4=1,1,IF($W$4=2,1/2.54))</f>
        <v>75</v>
      </c>
      <c r="BF22" s="138"/>
      <c r="BG22" s="132" t="s">
        <v>40</v>
      </c>
      <c r="BH22" s="137">
        <f>52*IF($W$4=1,1,IF($W$4=2,1/2.54))</f>
        <v>52</v>
      </c>
      <c r="BI22" s="132" t="s">
        <v>41</v>
      </c>
      <c r="BJ22" s="137">
        <f>12*IF($W$4=1,1,IF($W$4=2,1/2.54))</f>
        <v>12</v>
      </c>
      <c r="BK22" s="132" t="s">
        <v>42</v>
      </c>
      <c r="BL22" s="263">
        <f>52*IF($W$4=1,1,IF($W$4=2,1/2.54))</f>
        <v>52</v>
      </c>
      <c r="BM22" s="138"/>
      <c r="BN22" s="132" t="s">
        <v>40</v>
      </c>
      <c r="BO22" s="137">
        <f>52*IF($W$4=1,1,IF($W$4=2,1/2.54))</f>
        <v>52</v>
      </c>
      <c r="BP22" s="132" t="s">
        <v>41</v>
      </c>
      <c r="BQ22" s="137">
        <f>12*IF($W$4=1,1,IF($W$4=2,1/2.54))</f>
        <v>12</v>
      </c>
      <c r="BR22" s="132" t="s">
        <v>42</v>
      </c>
      <c r="BS22" s="263">
        <f>52*IF($W$4=1,1,IF($W$4=2,1/2.54))</f>
        <v>52</v>
      </c>
      <c r="BT22" s="138"/>
      <c r="BU22" s="132" t="s">
        <v>40</v>
      </c>
      <c r="BV22" s="137">
        <f>55*IF($W$4=1,1,IF($W$4=2,1/2.54))</f>
        <v>55</v>
      </c>
      <c r="BW22" s="132" t="s">
        <v>41</v>
      </c>
      <c r="BX22" s="137">
        <f>14*IF($W$4=1,1,IF($W$4=2,1/2.54))</f>
        <v>14</v>
      </c>
      <c r="BY22" s="132" t="s">
        <v>42</v>
      </c>
      <c r="BZ22" s="263">
        <f>75*IF($W$4=1,1,IF($W$4=2,1/2.54))</f>
        <v>75</v>
      </c>
      <c r="CA22" s="138"/>
      <c r="CB22" s="132" t="s">
        <v>40</v>
      </c>
      <c r="CC22" s="139">
        <f>55*IF($W$4=1,1,IF($W$4=2,1/2.54))</f>
        <v>55</v>
      </c>
      <c r="CD22" s="132" t="s">
        <v>41</v>
      </c>
      <c r="CE22" s="139">
        <f>14*IF($W$4=1,1,IF($W$4=2,1/2.54))</f>
        <v>14</v>
      </c>
      <c r="CF22" s="132" t="s">
        <v>42</v>
      </c>
      <c r="CG22" s="263">
        <f>75*IF($W$4=1,1,IF($W$4=2,1/2.54))</f>
        <v>75</v>
      </c>
      <c r="CH22" s="140"/>
    </row>
    <row r="23" spans="2:86" ht="15" x14ac:dyDescent="0.25">
      <c r="B23" s="70">
        <v>0.2</v>
      </c>
      <c r="C23" s="71">
        <v>2</v>
      </c>
      <c r="D23" s="72">
        <f>(($W$23*$C23^4+$W$24*$C23^3+$W$25*$C23^2+$W$26*$C23+$W$27)*((((Tv_heat-Tr_heat)/LN((Tv_heat-Tl_heat)/(Tr_heat-Tl_heat)))/((75-65)/LN((75-20)/(65-20))))^1))*$D$14*$AA$11</f>
        <v>1545.0574900003676</v>
      </c>
      <c r="E23" s="95">
        <f>ROUND(((D23/$D$14)/((Tv_heat-Tr_heat)*1.163))*$E$14,IF($W$4=1,0,IF($W$4=2,2)))</f>
        <v>133</v>
      </c>
      <c r="F23" s="74">
        <f>($X$24*(E23/$E$14)^$X$26)*$F$14</f>
        <v>0.63736800784716341</v>
      </c>
      <c r="G23" s="73">
        <f>(($Y$23*$C23^4+$Y$24*$C23^3+$Y$25*$C23^2+$Y$26*$C23+$Y$27)*((((Tv_cool-Tr_cool)/LN((Tv_cool-Tl_cool)/(Tr_cool-Tl_cool)))/((16-18)/LN((16-27)/(18-27))))^S23))*$G$14*$AA$11</f>
        <v>264.48417906365233</v>
      </c>
      <c r="H23" s="73">
        <f>((G23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23+0.001448)*(Tl_cool-((Tv_cool+Tr_cool)/2))+(0.016908*$C23-0.033574))*1.039&gt;1,1,1/(1+((2258*((0.622/((p_atm/(1*611*EXP(17.27*(((Tv_cool+Tr_cool)/2)/(((Tv_cool+Tr_cool)/2)+237.3))))))-1)*1000-(0.622/((p_atm/(RH*611*EXP(17.27*(Tl_cool/(Tl_cool+237.3))))))-1)*1000))/(1005*(((Tv_cool+Tr_cool)/2)-Tl_cool))))*1.039+((-0.000729*$C23+0.001448)*(Tl_cool-((Tv_cool+Tr_cool)/2))+(0.016908*$C23-0.033574))*1.039))))*$H$14</f>
        <v>322.54144488319611</v>
      </c>
      <c r="I23" s="95">
        <f>ROUND(((H23/$H$14)/((Tr_cool-Tv_cool)*1.163))*$I$14,IF($W$4=1,0,IF($W$4=2,2)))</f>
        <v>46</v>
      </c>
      <c r="J23" s="75">
        <f>($Z$24*(I23/$I$14)^$Z$26)*$J$14</f>
        <v>9.2809571561283735E-2</v>
      </c>
      <c r="K23" s="93">
        <f t="shared" ref="K23:K27" si="24">L23-8</f>
        <v>24</v>
      </c>
      <c r="L23" s="90">
        <f t="shared" ref="L23:L27" si="25">AA23</f>
        <v>32</v>
      </c>
      <c r="M23" s="76">
        <f t="shared" ref="M23:M27" si="26">AB23</f>
        <v>2.5</v>
      </c>
      <c r="N23" s="100">
        <f t="shared" ref="N23:N27" si="27">AC23*$N$14</f>
        <v>108</v>
      </c>
      <c r="O23" s="76">
        <f>(Tl_heat+(($D23/$G$14)/(1006*$N23*$K$14)))*(0.05*$C23+0.7)*$M$14+$O$14</f>
        <v>50.016443751673116</v>
      </c>
      <c r="P23" s="161">
        <f>(Tl_cool-((G23/$G$14)/(1006*N23*$K$14)))*$M$14+$O$14</f>
        <v>17.721297380070279</v>
      </c>
      <c r="Q23" s="61"/>
      <c r="S23" s="104">
        <v>1</v>
      </c>
      <c r="W23" s="113">
        <f t="shared" ref="W23:W27" si="28">IF($W$16=1,AE23,IF($W$16=2,AL23,IF($W$16=3,AS23,IF($W$16=4,AZ23,IF($W$16=5,BG23,IF($W$16=6,BN23,IF($W$16=7,BU23,IF($W$16=8,CB23))))))))</f>
        <v>-1.8027755792474383</v>
      </c>
      <c r="X23" s="114" t="str">
        <f t="shared" ref="X23:X28" si="29">IF($W$16=1,AF23,IF($W$16=2,AM23,IF($W$16=3,AT23,IF($W$16=4,BA23,IF($W$16=5,BH23,IF($W$16=6,BO23,IF($W$16=7,BV23,IF($W$16=8,CC23))))))))</f>
        <v>a</v>
      </c>
      <c r="Y23" s="115">
        <f t="shared" ref="Y23:Y27" si="30">IF($W$16=1,AG23,IF($W$16=2,AN23,IF($W$16=3,AU23,IF($W$16=4,BB23,IF($W$16=5,BI23,IF($W$16=6,BP23,IF($W$16=7,BW23,IF($W$16=8,CD23))))))))</f>
        <v>0</v>
      </c>
      <c r="Z23" s="114" t="str">
        <f t="shared" ref="Z23:Z28" si="31">IF($W$16=1,AH23,IF($W$16=2,AO23,IF($W$16=3,AV23,IF($W$16=4,BC23,IF($W$16=5,BJ23,IF($W$16=6,BQ23,IF($W$16=7,BX23,IF($W$16=8,CE23))))))))</f>
        <v>a</v>
      </c>
      <c r="AA23" s="115">
        <f t="shared" ref="AA23:AA27" si="32">IF($W$16=1,AI23,IF($W$16=2,AP23,IF($W$16=3,AW23,IF($W$16=4,BD23,IF($W$16=5,BK23,IF($W$16=6,BR23,IF($W$16=7,BY23,IF($W$16=8,CF23))))))))</f>
        <v>32</v>
      </c>
      <c r="AB23" s="115">
        <f t="shared" ref="AB23:AB28" si="33">IF($W$16=1,AJ23,IF($W$16=2,AQ23,IF($W$16=3,AX23,IF($W$16=4,BE23,IF($W$16=5,BL23,IF($W$16=6,BS23,IF($W$16=7,BZ23,IF($W$16=8,CG23))))))))</f>
        <v>2.5</v>
      </c>
      <c r="AC23" s="115">
        <f t="shared" ref="AC23:AC27" si="34">IF($W$16=1,AK23,IF($W$16=2,AR23,IF($W$16=3,AY23,IF($W$16=4,BF23,IF($W$16=5,BM23,IF($W$16=6,BT23,IF($W$16=7,CA23,IF($W$16=8,CH23))))))))</f>
        <v>108</v>
      </c>
      <c r="AD23" s="121" t="s">
        <v>59</v>
      </c>
      <c r="AE23" s="119">
        <v>-1.3966690275112728</v>
      </c>
      <c r="AF23" s="115" t="s">
        <v>28</v>
      </c>
      <c r="AG23" s="120"/>
      <c r="AH23" s="115" t="s">
        <v>28</v>
      </c>
      <c r="AI23" s="122">
        <v>29.5</v>
      </c>
      <c r="AJ23" s="117">
        <v>2.5</v>
      </c>
      <c r="AK23" s="118">
        <v>119</v>
      </c>
      <c r="AL23" s="113"/>
      <c r="AM23" s="115" t="s">
        <v>28</v>
      </c>
      <c r="AN23" s="115"/>
      <c r="AO23" s="115" t="s">
        <v>28</v>
      </c>
      <c r="AP23" s="117">
        <f t="shared" ref="AP23:AP27" si="35">AI23</f>
        <v>29.5</v>
      </c>
      <c r="AQ23" s="117">
        <v>2</v>
      </c>
      <c r="AR23" s="118">
        <v>57</v>
      </c>
      <c r="AS23" s="113">
        <v>-1.8027755792474383</v>
      </c>
      <c r="AT23" s="115" t="s">
        <v>28</v>
      </c>
      <c r="AU23" s="115"/>
      <c r="AV23" s="115" t="s">
        <v>28</v>
      </c>
      <c r="AW23" s="117">
        <v>32</v>
      </c>
      <c r="AX23" s="117">
        <f t="shared" ref="AX23:AX27" si="36">AJ23</f>
        <v>2.5</v>
      </c>
      <c r="AY23" s="118">
        <v>108</v>
      </c>
      <c r="AZ23" s="113"/>
      <c r="BA23" s="115" t="s">
        <v>28</v>
      </c>
      <c r="BB23" s="115"/>
      <c r="BC23" s="115" t="s">
        <v>28</v>
      </c>
      <c r="BD23" s="117">
        <f t="shared" ref="BD23:BD27" si="37">AW23</f>
        <v>32</v>
      </c>
      <c r="BE23" s="117">
        <f t="shared" ref="BE23:BE27" si="38">AQ23</f>
        <v>2</v>
      </c>
      <c r="BF23" s="118">
        <v>52</v>
      </c>
      <c r="BG23" s="113">
        <v>0.49830709976094612</v>
      </c>
      <c r="BH23" s="115" t="s">
        <v>28</v>
      </c>
      <c r="BI23" s="115"/>
      <c r="BJ23" s="115" t="s">
        <v>28</v>
      </c>
      <c r="BK23" s="117">
        <v>29.8</v>
      </c>
      <c r="BL23" s="117">
        <v>2.2000000000000002</v>
      </c>
      <c r="BM23" s="118">
        <v>127</v>
      </c>
      <c r="BN23" s="113">
        <v>-0.17567229699042283</v>
      </c>
      <c r="BO23" s="115" t="s">
        <v>28</v>
      </c>
      <c r="BP23" s="115"/>
      <c r="BQ23" s="115" t="s">
        <v>28</v>
      </c>
      <c r="BR23" s="117">
        <f t="shared" ref="BR23:BR27" si="39">BK23</f>
        <v>29.8</v>
      </c>
      <c r="BS23" s="117">
        <v>2.1</v>
      </c>
      <c r="BT23" s="118">
        <v>79</v>
      </c>
      <c r="BU23" s="113"/>
      <c r="BV23" s="115" t="s">
        <v>28</v>
      </c>
      <c r="BW23" s="115"/>
      <c r="BX23" s="115" t="s">
        <v>28</v>
      </c>
      <c r="BY23" s="115">
        <v>31</v>
      </c>
      <c r="BZ23" s="117">
        <f t="shared" ref="BZ23:BZ27" si="40">BL23</f>
        <v>2.2000000000000002</v>
      </c>
      <c r="CA23" s="118">
        <v>116</v>
      </c>
      <c r="CB23" s="120">
        <v>-0.18030344638520918</v>
      </c>
      <c r="CC23" s="120" t="s">
        <v>28</v>
      </c>
      <c r="CD23" s="120"/>
      <c r="CE23" s="120" t="s">
        <v>28</v>
      </c>
      <c r="CF23" s="120">
        <f t="shared" ref="CF23:CF27" si="41">BY23</f>
        <v>31</v>
      </c>
      <c r="CG23" s="122">
        <f t="shared" ref="CG23:CG27" si="42">BS23</f>
        <v>2.1</v>
      </c>
      <c r="CH23" s="123">
        <v>72</v>
      </c>
    </row>
    <row r="24" spans="2:86" ht="15" x14ac:dyDescent="0.25">
      <c r="B24" s="70">
        <v>0.4</v>
      </c>
      <c r="C24" s="71">
        <v>4</v>
      </c>
      <c r="D24" s="72">
        <f>(($W$23*$C24^4+$W$24*$C24^3+$W$25*$C24^2+$W$26*$C24+$W$27)*((((Tv_heat-Tr_heat)/LN((Tv_heat-Tl_heat)/(Tr_heat-Tl_heat)))/((75-65)/LN((75-20)/(65-20))))^1))*$D$14*$AA$11</f>
        <v>1699.4501618638099</v>
      </c>
      <c r="E24" s="95">
        <f>ROUND(((D24/$D$14)/((Tv_heat-Tr_heat)*1.163))*$E$14,IF($W$4=1,0,IF($W$4=2,2)))</f>
        <v>146</v>
      </c>
      <c r="F24" s="74">
        <f t="shared" ref="F24:F27" si="43">($X$24*(E24/$E$14)^$X$26)*$F$14</f>
        <v>0.75490492021048317</v>
      </c>
      <c r="G24" s="73">
        <f>(($Y$23*$C24^4+$Y$24*$C24^3+$Y$25*$C24^2+$Y$26*$C24+$Y$27)*((((Tv_cool-Tr_cool)/LN((Tv_cool-Tl_cool)/(Tr_cool-Tl_cool)))/((16-18)/LN((16-27)/(18-27))))^S24))*$G$14*$AA$11</f>
        <v>300.46099720001661</v>
      </c>
      <c r="H24" s="73">
        <f>((G24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24+0.001448)*(Tl_cool-((Tv_cool+Tr_cool)/2))+(0.016908*$C24-0.033574))*1.039&gt;1,1,1/(1+((2258*((0.622/((p_atm/(1*611*EXP(17.27*(((Tv_cool+Tr_cool)/2)/(((Tv_cool+Tr_cool)/2)+237.3))))))-1)*1000-(0.622/((p_atm/(RH*611*EXP(17.27*(Tl_cool/(Tl_cool+237.3))))))-1)*1000))/(1005*(((Tv_cool+Tr_cool)/2)-Tl_cool))))*1.039+((-0.000729*$C24+0.001448)*(Tl_cool-((Tv_cool+Tr_cool)/2))+(0.016908*$C24-0.033574))*1.039))))*$H$14</f>
        <v>360.29636660518418</v>
      </c>
      <c r="I24" s="95">
        <f>ROUND(((H24/$H$14)/((Tr_cool-Tv_cool)*1.163))*$I$14,IF($W$4=1,0,IF($W$4=2,2)))</f>
        <v>52</v>
      </c>
      <c r="J24" s="75">
        <f t="shared" ref="J24:J27" si="44">($Z$24*(I24/$I$14)^$Z$26)*$J$14</f>
        <v>0.11593731452928037</v>
      </c>
      <c r="K24" s="93">
        <f t="shared" si="24"/>
        <v>30</v>
      </c>
      <c r="L24" s="90">
        <f t="shared" si="25"/>
        <v>38</v>
      </c>
      <c r="M24" s="76">
        <f t="shared" si="26"/>
        <v>4.3</v>
      </c>
      <c r="N24" s="100">
        <f t="shared" si="27"/>
        <v>172</v>
      </c>
      <c r="O24" s="76">
        <f>(Tl_heat+(($D24/$G$14)/(1006*$N24*$K$14)))*(0.05*$C24+0.7)*$M$14+$O$14</f>
        <v>44.430204815871967</v>
      </c>
      <c r="P24" s="161">
        <f>(Tl_cool-((G24/$G$14)/(1006*N24*$K$14)))*$M$14+$O$14</f>
        <v>19.807964054504478</v>
      </c>
      <c r="Q24" s="61"/>
      <c r="S24" s="104">
        <v>1</v>
      </c>
      <c r="W24" s="119">
        <f t="shared" si="28"/>
        <v>44.485461171044086</v>
      </c>
      <c r="X24" s="120">
        <f t="shared" si="29"/>
        <v>8.9125876915269658E-5</v>
      </c>
      <c r="Y24" s="120">
        <f t="shared" si="30"/>
        <v>1.4766388390629539E-2</v>
      </c>
      <c r="Z24" s="120">
        <f t="shared" si="31"/>
        <v>8.9125876915269658E-5</v>
      </c>
      <c r="AA24" s="120">
        <f t="shared" si="32"/>
        <v>38</v>
      </c>
      <c r="AB24" s="120">
        <f t="shared" si="33"/>
        <v>4.3</v>
      </c>
      <c r="AC24" s="120">
        <f t="shared" si="34"/>
        <v>172</v>
      </c>
      <c r="AD24" s="121" t="s">
        <v>60</v>
      </c>
      <c r="AE24" s="119">
        <v>38.143349950508401</v>
      </c>
      <c r="AF24" s="120">
        <v>8.9125876915269658E-5</v>
      </c>
      <c r="AG24" s="120"/>
      <c r="AH24" s="120">
        <f>AF24</f>
        <v>8.9125876915269658E-5</v>
      </c>
      <c r="AI24" s="122">
        <v>35.5</v>
      </c>
      <c r="AJ24" s="122">
        <v>4.3</v>
      </c>
      <c r="AK24" s="123">
        <v>189</v>
      </c>
      <c r="AL24" s="119">
        <v>1.4391019442875652</v>
      </c>
      <c r="AM24" s="120">
        <f>AF24</f>
        <v>8.9125876915269658E-5</v>
      </c>
      <c r="AN24" s="120">
        <v>9.0562305830694051E-2</v>
      </c>
      <c r="AO24" s="120">
        <f>AH24</f>
        <v>8.9125876915269658E-5</v>
      </c>
      <c r="AP24" s="122">
        <f t="shared" si="35"/>
        <v>35.5</v>
      </c>
      <c r="AQ24" s="122">
        <v>3.4</v>
      </c>
      <c r="AR24" s="123">
        <v>101</v>
      </c>
      <c r="AS24" s="119">
        <v>44.485461171044086</v>
      </c>
      <c r="AT24" s="120">
        <f>AF24</f>
        <v>8.9125876915269658E-5</v>
      </c>
      <c r="AU24" s="120">
        <v>1.4766388390629539E-2</v>
      </c>
      <c r="AV24" s="120">
        <f>AO24</f>
        <v>8.9125876915269658E-5</v>
      </c>
      <c r="AW24" s="122">
        <v>38</v>
      </c>
      <c r="AX24" s="122">
        <f t="shared" si="36"/>
        <v>4.3</v>
      </c>
      <c r="AY24" s="123">
        <v>172</v>
      </c>
      <c r="AZ24" s="119">
        <v>0.96857796417835151</v>
      </c>
      <c r="BA24" s="120">
        <f>AF24</f>
        <v>8.9125876915269658E-5</v>
      </c>
      <c r="BB24" s="120">
        <v>0.13604657691485619</v>
      </c>
      <c r="BC24" s="120">
        <f>AH24</f>
        <v>8.9125876915269658E-5</v>
      </c>
      <c r="BD24" s="122">
        <f t="shared" si="37"/>
        <v>38</v>
      </c>
      <c r="BE24" s="122">
        <f t="shared" si="38"/>
        <v>3.4</v>
      </c>
      <c r="BF24" s="123">
        <v>92</v>
      </c>
      <c r="BG24" s="119">
        <v>-13.263227732012894</v>
      </c>
      <c r="BH24" s="120">
        <v>1.6747942882275273E-4</v>
      </c>
      <c r="BI24" s="120">
        <v>-0.15580336271323561</v>
      </c>
      <c r="BJ24" s="120">
        <f>BH24</f>
        <v>1.6747942882275273E-4</v>
      </c>
      <c r="BK24" s="122">
        <v>35.200000000000003</v>
      </c>
      <c r="BL24" s="122">
        <v>3.6</v>
      </c>
      <c r="BM24" s="123">
        <v>193</v>
      </c>
      <c r="BN24" s="119">
        <v>5.310983637366931</v>
      </c>
      <c r="BO24" s="120">
        <f>AF24</f>
        <v>8.9125876915269658E-5</v>
      </c>
      <c r="BP24" s="120">
        <v>-0.13585286893887913</v>
      </c>
      <c r="BQ24" s="120">
        <f>BJ24</f>
        <v>1.6747942882275273E-4</v>
      </c>
      <c r="BR24" s="122">
        <f t="shared" si="39"/>
        <v>35.200000000000003</v>
      </c>
      <c r="BS24" s="122">
        <v>3.4</v>
      </c>
      <c r="BT24" s="123">
        <v>135</v>
      </c>
      <c r="BU24" s="119">
        <v>-0.36935046666650995</v>
      </c>
      <c r="BV24" s="120">
        <f>BH24</f>
        <v>1.6747942882275273E-4</v>
      </c>
      <c r="BW24" s="120">
        <v>-0.14605906212444036</v>
      </c>
      <c r="BX24" s="120">
        <f>BJ24</f>
        <v>1.6747942882275273E-4</v>
      </c>
      <c r="BY24" s="120">
        <v>35.799999999999997</v>
      </c>
      <c r="BZ24" s="122">
        <f t="shared" si="40"/>
        <v>3.6</v>
      </c>
      <c r="CA24" s="123">
        <v>176</v>
      </c>
      <c r="CB24" s="120">
        <v>5.1948232625655573</v>
      </c>
      <c r="CC24" s="120">
        <f>BO24</f>
        <v>8.9125876915269658E-5</v>
      </c>
      <c r="CD24" s="120">
        <v>-0.10565020591365754</v>
      </c>
      <c r="CE24" s="120">
        <f>BQ24</f>
        <v>1.6747942882275273E-4</v>
      </c>
      <c r="CF24" s="120">
        <f t="shared" si="41"/>
        <v>35.799999999999997</v>
      </c>
      <c r="CG24" s="122">
        <f t="shared" si="42"/>
        <v>3.4</v>
      </c>
      <c r="CH24" s="123">
        <v>123</v>
      </c>
    </row>
    <row r="25" spans="2:86" ht="15" x14ac:dyDescent="0.25">
      <c r="B25" s="70">
        <v>0.6</v>
      </c>
      <c r="C25" s="71">
        <v>6</v>
      </c>
      <c r="D25" s="72">
        <f>(($W$23*$C25^4+$W$24*$C25^3+$W$25*$C25^2+$W$26*$C25+$W$27)*((((Tv_heat-Tr_heat)/LN((Tv_heat-Tl_heat)/(Tr_heat-Tl_heat)))/((75-65)/LN((75-20)/(65-20))))^1))*$D$14*$AA$11</f>
        <v>1797.2271053057073</v>
      </c>
      <c r="E25" s="95">
        <f>ROUND(((D25/$D$14)/((Tv_heat-Tr_heat)*1.163))*$E$14,IF($W$4=1,0,IF($W$4=2,2)))</f>
        <v>155</v>
      </c>
      <c r="F25" s="74">
        <f t="shared" si="43"/>
        <v>0.84147052808091538</v>
      </c>
      <c r="G25" s="73">
        <f>(($Y$23*$C25^4+$Y$24*$C25^3+$Y$25*$C25^2+$Y$26*$C25+$Y$27)*((((Tv_cool-Tr_cool)/LN((Tv_cool-Tl_cool)/(Tr_cool-Tl_cool)))/((16-18)/LN((16-27)/(18-27))))^S25))*$G$14*$AA$11</f>
        <v>348.93644722168705</v>
      </c>
      <c r="H25" s="73">
        <f>((G25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25+0.001448)*(Tl_cool-((Tv_cool+Tr_cool)/2))+(0.016908*$C25-0.033574))*1.039&gt;1,1,1/(1+((2258*((0.622/((p_atm/(1*611*EXP(17.27*(((Tv_cool+Tr_cool)/2)/(((Tv_cool+Tr_cool)/2)+237.3))))))-1)*1000-(0.622/((p_atm/(RH*611*EXP(17.27*(Tl_cool/(Tl_cool+237.3))))))-1)*1000))/(1005*(((Tv_cool+Tr_cool)/2)-Tl_cool))))*1.039+((-0.000729*$C25+0.001448)*(Tl_cool-((Tv_cool+Tr_cool)/2))+(0.016908*$C25-0.033574))*1.039))))*$H$14</f>
        <v>411.55246090781048</v>
      </c>
      <c r="I25" s="95">
        <f>ROUND(((H25/$H$14)/((Tr_cool-Tv_cool)*1.163))*$I$14,IF($W$4=1,0,IF($W$4=2,2)))</f>
        <v>59</v>
      </c>
      <c r="J25" s="75">
        <f t="shared" si="44"/>
        <v>0.14580188147753229</v>
      </c>
      <c r="K25" s="93">
        <f t="shared" si="24"/>
        <v>36.799999999999997</v>
      </c>
      <c r="L25" s="90">
        <f t="shared" si="25"/>
        <v>44.8</v>
      </c>
      <c r="M25" s="76">
        <f t="shared" si="26"/>
        <v>7.2</v>
      </c>
      <c r="N25" s="100">
        <f t="shared" si="27"/>
        <v>223</v>
      </c>
      <c r="O25" s="76">
        <f>(Tl_heat+(($D25/$G$14)/(1006*$N25*$K$14)))*(0.05*$C25+0.7)*$M$14+$O$14</f>
        <v>43.9538943621044</v>
      </c>
      <c r="P25" s="161">
        <f>(Tl_cool-((G25/$G$14)/(1006*N25*$K$14)))*$M$14+$O$14</f>
        <v>20.349287370994467</v>
      </c>
      <c r="Q25" s="61"/>
      <c r="S25" s="104">
        <v>1</v>
      </c>
      <c r="W25" s="119">
        <f t="shared" si="28"/>
        <v>-360.62494218047829</v>
      </c>
      <c r="X25" s="114" t="str">
        <f t="shared" si="29"/>
        <v>b</v>
      </c>
      <c r="Y25" s="120">
        <f t="shared" si="30"/>
        <v>0.95253155588610972</v>
      </c>
      <c r="Z25" s="114" t="str">
        <f t="shared" si="31"/>
        <v>b</v>
      </c>
      <c r="AA25" s="120">
        <f t="shared" si="32"/>
        <v>44.8</v>
      </c>
      <c r="AB25" s="120">
        <f t="shared" si="33"/>
        <v>7.2</v>
      </c>
      <c r="AC25" s="120">
        <f t="shared" si="34"/>
        <v>223</v>
      </c>
      <c r="AD25" s="121" t="s">
        <v>61</v>
      </c>
      <c r="AE25" s="119">
        <v>-348.72126254555525</v>
      </c>
      <c r="AF25" s="120" t="s">
        <v>29</v>
      </c>
      <c r="AG25" s="120">
        <v>0.95050103220183868</v>
      </c>
      <c r="AH25" s="120" t="s">
        <v>29</v>
      </c>
      <c r="AI25" s="122">
        <v>42.9</v>
      </c>
      <c r="AJ25" s="122">
        <v>7.2</v>
      </c>
      <c r="AK25" s="123">
        <v>245</v>
      </c>
      <c r="AL25" s="119">
        <v>-13.4761765197598</v>
      </c>
      <c r="AM25" s="120" t="s">
        <v>29</v>
      </c>
      <c r="AN25" s="120">
        <v>-0.70553445364847411</v>
      </c>
      <c r="AO25" s="120" t="s">
        <v>29</v>
      </c>
      <c r="AP25" s="122">
        <f t="shared" si="35"/>
        <v>42.9</v>
      </c>
      <c r="AQ25" s="122">
        <v>5.7</v>
      </c>
      <c r="AR25" s="123">
        <v>158</v>
      </c>
      <c r="AS25" s="119">
        <v>-360.62494218047829</v>
      </c>
      <c r="AT25" s="120" t="s">
        <v>29</v>
      </c>
      <c r="AU25" s="120">
        <v>0.95253155588610972</v>
      </c>
      <c r="AV25" s="120" t="s">
        <v>29</v>
      </c>
      <c r="AW25" s="122">
        <v>44.8</v>
      </c>
      <c r="AX25" s="122">
        <f t="shared" si="36"/>
        <v>7.2</v>
      </c>
      <c r="AY25" s="123">
        <v>223</v>
      </c>
      <c r="AZ25" s="119">
        <v>-6.4342749126444518</v>
      </c>
      <c r="BA25" s="120" t="s">
        <v>29</v>
      </c>
      <c r="BB25" s="120">
        <v>-1.8007451821026781</v>
      </c>
      <c r="BC25" s="120" t="s">
        <v>29</v>
      </c>
      <c r="BD25" s="122">
        <f t="shared" si="37"/>
        <v>44.8</v>
      </c>
      <c r="BE25" s="122">
        <f t="shared" si="38"/>
        <v>5.7</v>
      </c>
      <c r="BF25" s="123">
        <v>144</v>
      </c>
      <c r="BG25" s="119">
        <v>122.05804505559311</v>
      </c>
      <c r="BH25" s="120" t="s">
        <v>29</v>
      </c>
      <c r="BI25" s="120">
        <v>3.0462357352307898</v>
      </c>
      <c r="BJ25" s="120" t="s">
        <v>29</v>
      </c>
      <c r="BK25" s="122">
        <v>42.6</v>
      </c>
      <c r="BL25" s="122">
        <v>5.7</v>
      </c>
      <c r="BM25" s="123">
        <v>262</v>
      </c>
      <c r="BN25" s="119">
        <v>-44.719954456715023</v>
      </c>
      <c r="BO25" s="120" t="s">
        <v>29</v>
      </c>
      <c r="BP25" s="120">
        <v>2.3588491747921849</v>
      </c>
      <c r="BQ25" s="120" t="s">
        <v>29</v>
      </c>
      <c r="BR25" s="122">
        <f t="shared" si="39"/>
        <v>42.6</v>
      </c>
      <c r="BS25" s="122">
        <v>5.9</v>
      </c>
      <c r="BT25" s="123">
        <v>185</v>
      </c>
      <c r="BU25" s="119">
        <v>4.0608619070466698</v>
      </c>
      <c r="BV25" s="120" t="s">
        <v>29</v>
      </c>
      <c r="BW25" s="120">
        <v>2.4216316716249207</v>
      </c>
      <c r="BX25" s="120" t="s">
        <v>29</v>
      </c>
      <c r="BY25" s="120">
        <v>42.4</v>
      </c>
      <c r="BZ25" s="122">
        <f t="shared" si="40"/>
        <v>5.7</v>
      </c>
      <c r="CA25" s="123">
        <v>238</v>
      </c>
      <c r="CB25" s="120">
        <v>-41.886569073423779</v>
      </c>
      <c r="CC25" s="120" t="s">
        <v>29</v>
      </c>
      <c r="CD25" s="120">
        <v>1.9707367773017559</v>
      </c>
      <c r="CE25" s="120" t="s">
        <v>29</v>
      </c>
      <c r="CF25" s="120">
        <f t="shared" si="41"/>
        <v>42.4</v>
      </c>
      <c r="CG25" s="122">
        <f t="shared" si="42"/>
        <v>5.9</v>
      </c>
      <c r="CH25" s="123">
        <v>168</v>
      </c>
    </row>
    <row r="26" spans="2:86" ht="15" x14ac:dyDescent="0.25">
      <c r="B26" s="70">
        <v>0.8</v>
      </c>
      <c r="C26" s="71">
        <v>8</v>
      </c>
      <c r="D26" s="72">
        <f>(($W$23*$C26^4+$W$24*$C26^3+$W$25*$C26^2+$W$26*$C26+$W$27)*((((Tv_heat-Tr_heat)/LN((Tv_heat-Tl_heat)/(Tr_heat-Tl_heat)))/((75-65)/LN((75-20)/(65-20))))^1))*$D$14*$AA$11</f>
        <v>2243.0259004586364</v>
      </c>
      <c r="E26" s="95">
        <f>ROUND(((D26/$D$14)/((Tv_heat-Tr_heat)*1.163))*$E$14,IF($W$4=1,0,IF($W$4=2,2)))</f>
        <v>193</v>
      </c>
      <c r="F26" s="74">
        <f t="shared" si="43"/>
        <v>1.2527236220879372</v>
      </c>
      <c r="G26" s="73">
        <f>(($Y$23*$C26^4+$Y$24*$C26^3+$Y$25*$C26^2+$Y$26*$C26+$Y$27)*((((Tv_cool-Tr_cool)/LN((Tv_cool-Tl_cool)/(Tr_cool-Tl_cool)))/((16-18)/LN((16-27)/(18-27))))^S26))*$G$14*$AA$11</f>
        <v>410.89072764045977</v>
      </c>
      <c r="H26" s="73">
        <f>((G26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26+0.001448)*(Tl_cool-((Tv_cool+Tr_cool)/2))+(0.016908*$C26-0.033574))*1.039&gt;1,1,1/(1+((2258*((0.622/((p_atm/(1*611*EXP(17.27*(((Tv_cool+Tr_cool)/2)/(((Tv_cool+Tr_cool)/2)+237.3))))))-1)*1000-(0.622/((p_atm/(RH*611*EXP(17.27*(Tl_cool/(Tl_cool+237.3))))))-1)*1000))/(1005*(((Tv_cool+Tr_cool)/2)-Tl_cool))))*1.039+((-0.000729*$C26+0.001448)*(Tl_cool-((Tv_cool+Tr_cool)/2))+(0.016908*$C26-0.033574))*1.039))))*$H$14</f>
        <v>476.792583604443</v>
      </c>
      <c r="I26" s="95">
        <f>ROUND(((H26/$H$14)/((Tr_cool-Tv_cool)*1.163))*$I$14,IF($W$4=1,0,IF($W$4=2,2)))</f>
        <v>68</v>
      </c>
      <c r="J26" s="75">
        <f t="shared" si="44"/>
        <v>0.18865080689357502</v>
      </c>
      <c r="K26" s="93">
        <f t="shared" si="24"/>
        <v>41.5</v>
      </c>
      <c r="L26" s="90">
        <f t="shared" si="25"/>
        <v>49.5</v>
      </c>
      <c r="M26" s="76">
        <f t="shared" si="26"/>
        <v>11.5</v>
      </c>
      <c r="N26" s="100">
        <f t="shared" si="27"/>
        <v>287</v>
      </c>
      <c r="O26" s="76">
        <f>(Tl_heat+(($D26/$G$14)/(1006*$N26*$K$14)))*(0.05*$C26+0.7)*$M$14+$O$14</f>
        <v>47.551894755698086</v>
      </c>
      <c r="P26" s="161">
        <f>(Tl_cool-((G26/$G$14)/(1006*N26*$K$14)))*$M$14+$O$14</f>
        <v>20.744775505504549</v>
      </c>
      <c r="Q26" s="61"/>
      <c r="S26" s="104">
        <v>1</v>
      </c>
      <c r="W26" s="119">
        <f t="shared" si="28"/>
        <v>1211.686145735049</v>
      </c>
      <c r="X26" s="120">
        <f t="shared" si="29"/>
        <v>1.8148096460023067</v>
      </c>
      <c r="Y26" s="120">
        <f t="shared" si="30"/>
        <v>6.8788639604089941</v>
      </c>
      <c r="Z26" s="120">
        <f t="shared" si="31"/>
        <v>1.8148096460023067</v>
      </c>
      <c r="AA26" s="120">
        <f t="shared" si="32"/>
        <v>49.5</v>
      </c>
      <c r="AB26" s="120">
        <f t="shared" si="33"/>
        <v>11.5</v>
      </c>
      <c r="AC26" s="120">
        <f t="shared" si="34"/>
        <v>287</v>
      </c>
      <c r="AD26" s="121" t="s">
        <v>62</v>
      </c>
      <c r="AE26" s="119">
        <v>1373.1450518778961</v>
      </c>
      <c r="AF26" s="120">
        <v>1.8148096460023067</v>
      </c>
      <c r="AG26" s="120">
        <v>12.303694505562234</v>
      </c>
      <c r="AH26" s="120">
        <f>AF26</f>
        <v>1.8148096460023067</v>
      </c>
      <c r="AI26" s="122">
        <v>48.7</v>
      </c>
      <c r="AJ26" s="122">
        <v>11.5</v>
      </c>
      <c r="AK26" s="123">
        <v>315</v>
      </c>
      <c r="AL26" s="119">
        <v>117.51965864074985</v>
      </c>
      <c r="AM26" s="120">
        <f>AF26</f>
        <v>1.8148096460023067</v>
      </c>
      <c r="AN26" s="120">
        <v>15.38147266772482</v>
      </c>
      <c r="AO26" s="120">
        <f>AH26</f>
        <v>1.8148096460023067</v>
      </c>
      <c r="AP26" s="122">
        <f t="shared" si="35"/>
        <v>48.7</v>
      </c>
      <c r="AQ26" s="122">
        <v>8.4</v>
      </c>
      <c r="AR26" s="123">
        <v>213</v>
      </c>
      <c r="AS26" s="119">
        <v>1211.686145735049</v>
      </c>
      <c r="AT26" s="120">
        <f>AF26</f>
        <v>1.8148096460023067</v>
      </c>
      <c r="AU26" s="120">
        <v>6.8788639604089941</v>
      </c>
      <c r="AV26" s="120">
        <f>AO26</f>
        <v>1.8148096460023067</v>
      </c>
      <c r="AW26" s="122">
        <v>49.5</v>
      </c>
      <c r="AX26" s="122">
        <f t="shared" si="36"/>
        <v>11.5</v>
      </c>
      <c r="AY26" s="123">
        <v>287</v>
      </c>
      <c r="AZ26" s="119">
        <v>80.732145519360756</v>
      </c>
      <c r="BA26" s="120">
        <f>AF26</f>
        <v>1.8148096460023067</v>
      </c>
      <c r="BB26" s="120">
        <v>21.493052785950599</v>
      </c>
      <c r="BC26" s="120">
        <f>AH26</f>
        <v>1.8148096460023067</v>
      </c>
      <c r="BD26" s="122">
        <f t="shared" si="37"/>
        <v>49.5</v>
      </c>
      <c r="BE26" s="122">
        <f t="shared" si="38"/>
        <v>8.4</v>
      </c>
      <c r="BF26" s="123">
        <v>194</v>
      </c>
      <c r="BG26" s="119">
        <v>-187.6715729709768</v>
      </c>
      <c r="BH26" s="120">
        <v>1.8208138694468972</v>
      </c>
      <c r="BI26" s="120">
        <v>15.003869299896744</v>
      </c>
      <c r="BJ26" s="120">
        <f>BH26</f>
        <v>1.8208138694468972</v>
      </c>
      <c r="BK26" s="122">
        <v>48.8</v>
      </c>
      <c r="BL26" s="122">
        <v>9.6</v>
      </c>
      <c r="BM26" s="123">
        <v>320</v>
      </c>
      <c r="BN26" s="119">
        <v>203.9442336709939</v>
      </c>
      <c r="BO26" s="120">
        <f>AF26</f>
        <v>1.8148096460023067</v>
      </c>
      <c r="BP26" s="120">
        <v>13.520006569641618</v>
      </c>
      <c r="BQ26" s="120">
        <f>BJ26</f>
        <v>1.8208138694468972</v>
      </c>
      <c r="BR26" s="122">
        <f t="shared" si="39"/>
        <v>48.8</v>
      </c>
      <c r="BS26" s="122">
        <v>10</v>
      </c>
      <c r="BT26" s="123">
        <v>251</v>
      </c>
      <c r="BU26" s="119">
        <v>251.43285822089797</v>
      </c>
      <c r="BV26" s="120">
        <f>BH26</f>
        <v>1.8208138694468972</v>
      </c>
      <c r="BW26" s="120">
        <v>20.927015387969359</v>
      </c>
      <c r="BX26" s="120">
        <f>BJ26</f>
        <v>1.8208138694468972</v>
      </c>
      <c r="BY26" s="120">
        <v>47.9</v>
      </c>
      <c r="BZ26" s="122">
        <f t="shared" si="40"/>
        <v>9.6</v>
      </c>
      <c r="CA26" s="123">
        <v>291</v>
      </c>
      <c r="CB26" s="120">
        <v>185.13171418104602</v>
      </c>
      <c r="CC26" s="120">
        <f>BO26</f>
        <v>1.8148096460023067</v>
      </c>
      <c r="CD26" s="120">
        <v>12.859546260831442</v>
      </c>
      <c r="CE26" s="120">
        <f>BQ26</f>
        <v>1.8208138694468972</v>
      </c>
      <c r="CF26" s="120">
        <f t="shared" si="41"/>
        <v>47.9</v>
      </c>
      <c r="CG26" s="122">
        <f t="shared" si="42"/>
        <v>10</v>
      </c>
      <c r="CH26" s="123">
        <v>228</v>
      </c>
    </row>
    <row r="27" spans="2:86" ht="15" x14ac:dyDescent="0.25">
      <c r="B27" s="70">
        <v>1</v>
      </c>
      <c r="C27" s="71">
        <v>10</v>
      </c>
      <c r="D27" s="72">
        <f>(($W$23*$C27^4+$W$24*$C27^3+$W$25*$C27^2+$W$26*$C27+$W$27)*((((Tv_heat-Tr_heat)/LN((Tv_heat-Tl_heat)/(Tr_heat-Tl_heat)))/((75-65)/LN((75-20)/(65-20))))^1))*$D$14*$AA$11</f>
        <v>2749.2183050241524</v>
      </c>
      <c r="E27" s="95">
        <f>ROUND(((D27/$D$14)/((Tv_heat-Tr_heat)*1.163))*$E$14,IF($W$4=1,0,IF($W$4=2,2)))</f>
        <v>236</v>
      </c>
      <c r="F27" s="74">
        <f t="shared" si="43"/>
        <v>1.8046268223295128</v>
      </c>
      <c r="G27" s="73">
        <f>(($Y$23*$C27^4+$Y$24*$C27^3+$Y$25*$C27^2+$Y$26*$C27+$Y$27)*((((Tv_cool-Tr_cool)/LN((Tv_cool-Tl_cool)/(Tr_cool-Tl_cool)))/((16-18)/LN((16-27)/(18-27))))^S27))*$G$14*$AA$11</f>
        <v>487.30403696813084</v>
      </c>
      <c r="H27" s="73">
        <f>((G27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27+0.001448)*(Tl_cool-((Tv_cool+Tr_cool)/2))+(0.016908*$C27-0.033574))*1.039&gt;1,1,1/(1+((2258*((0.622/((p_atm/(1*611*EXP(17.27*(((Tv_cool+Tr_cool)/2)/(((Tv_cool+Tr_cool)/2)+237.3))))))-1)*1000-(0.622/((p_atm/(RH*611*EXP(17.27*(Tl_cool/(Tl_cool+237.3))))))-1)*1000))/(1005*(((Tv_cool+Tr_cool)/2)-Tl_cool))))*1.039+((-0.000729*$C27+0.001448)*(Tl_cool-((Tv_cool+Tr_cool)/2))+(0.016908*$C27-0.033574))*1.039))))*$H$14</f>
        <v>556.46887425158877</v>
      </c>
      <c r="I27" s="95">
        <f>ROUND(((H27/$H$14)/((Tr_cool-Tv_cool)*1.163))*$I$14,IF($W$4=1,0,IF($W$4=2,2)))</f>
        <v>80</v>
      </c>
      <c r="J27" s="75">
        <f t="shared" si="44"/>
        <v>0.25336690219813474</v>
      </c>
      <c r="K27" s="93">
        <f t="shared" si="24"/>
        <v>44.5</v>
      </c>
      <c r="L27" s="90">
        <f t="shared" si="25"/>
        <v>52.5</v>
      </c>
      <c r="M27" s="76">
        <f t="shared" si="26"/>
        <v>18</v>
      </c>
      <c r="N27" s="100">
        <f t="shared" si="27"/>
        <v>346</v>
      </c>
      <c r="O27" s="76">
        <f>(Tl_heat+(($D27/$G$14)/(1006*$N27*$K$14)))*(0.05*$C27+0.7)*$M$14+$O$14</f>
        <v>52.339514593980184</v>
      </c>
      <c r="P27" s="161">
        <f>(Tl_cool-((G27/$G$14)/(1006*N27*$K$14)))*$M$14+$O$14</f>
        <v>20.81397378722577</v>
      </c>
      <c r="Q27" s="61"/>
      <c r="S27" s="104">
        <v>1</v>
      </c>
      <c r="W27" s="124">
        <f t="shared" si="28"/>
        <v>237.14568715178913</v>
      </c>
      <c r="X27" s="125">
        <f t="shared" si="29"/>
        <v>0</v>
      </c>
      <c r="Y27" s="126">
        <f t="shared" si="30"/>
        <v>173.56390044315711</v>
      </c>
      <c r="Z27" s="125">
        <f t="shared" si="31"/>
        <v>0</v>
      </c>
      <c r="AA27" s="126">
        <f t="shared" si="32"/>
        <v>52.5</v>
      </c>
      <c r="AB27" s="126">
        <f t="shared" si="33"/>
        <v>18</v>
      </c>
      <c r="AC27" s="126">
        <f t="shared" si="34"/>
        <v>346</v>
      </c>
      <c r="AD27" s="127" t="s">
        <v>63</v>
      </c>
      <c r="AE27" s="124">
        <v>-15.100612121165774</v>
      </c>
      <c r="AF27" s="128"/>
      <c r="AG27" s="126">
        <v>169.35574429693057</v>
      </c>
      <c r="AH27" s="128"/>
      <c r="AI27" s="129">
        <v>53</v>
      </c>
      <c r="AJ27" s="129">
        <v>18</v>
      </c>
      <c r="AK27" s="130">
        <v>380</v>
      </c>
      <c r="AL27" s="124">
        <v>1150.1568462090017</v>
      </c>
      <c r="AM27" s="128"/>
      <c r="AN27" s="126">
        <v>135.99082694968888</v>
      </c>
      <c r="AO27" s="128"/>
      <c r="AP27" s="129">
        <f t="shared" si="35"/>
        <v>53</v>
      </c>
      <c r="AQ27" s="129">
        <v>14.4</v>
      </c>
      <c r="AR27" s="130">
        <v>252</v>
      </c>
      <c r="AS27" s="124">
        <v>237.14568715178913</v>
      </c>
      <c r="AT27" s="128"/>
      <c r="AU27" s="126">
        <v>173.56390044315711</v>
      </c>
      <c r="AV27" s="128"/>
      <c r="AW27" s="129">
        <v>52.5</v>
      </c>
      <c r="AX27" s="129">
        <f t="shared" si="36"/>
        <v>18</v>
      </c>
      <c r="AY27" s="130">
        <v>346</v>
      </c>
      <c r="AZ27" s="124">
        <v>1067.2269380900811</v>
      </c>
      <c r="BA27" s="128"/>
      <c r="BB27" s="126">
        <v>110.71690101532077</v>
      </c>
      <c r="BC27" s="128"/>
      <c r="BD27" s="129">
        <f t="shared" si="37"/>
        <v>52.5</v>
      </c>
      <c r="BE27" s="129">
        <f t="shared" si="38"/>
        <v>14.4</v>
      </c>
      <c r="BF27" s="130">
        <v>229</v>
      </c>
      <c r="BG27" s="124">
        <v>2449.9380640168019</v>
      </c>
      <c r="BH27" s="128"/>
      <c r="BI27" s="126">
        <v>278.25730759129112</v>
      </c>
      <c r="BJ27" s="128"/>
      <c r="BK27" s="129">
        <v>53</v>
      </c>
      <c r="BL27" s="129">
        <v>15.6</v>
      </c>
      <c r="BM27" s="130">
        <v>365</v>
      </c>
      <c r="BN27" s="124">
        <v>781.20375671556064</v>
      </c>
      <c r="BO27" s="128"/>
      <c r="BP27" s="126">
        <v>197.77175399650883</v>
      </c>
      <c r="BQ27" s="128"/>
      <c r="BR27" s="129">
        <f t="shared" si="39"/>
        <v>53</v>
      </c>
      <c r="BS27" s="129">
        <v>15.6</v>
      </c>
      <c r="BT27" s="130">
        <v>282</v>
      </c>
      <c r="BU27" s="124">
        <v>1733.6902910445228</v>
      </c>
      <c r="BV27" s="128"/>
      <c r="BW27" s="126">
        <v>244.82210443399327</v>
      </c>
      <c r="BX27" s="128"/>
      <c r="BY27" s="126">
        <v>51.5</v>
      </c>
      <c r="BZ27" s="129">
        <f t="shared" si="40"/>
        <v>15.6</v>
      </c>
      <c r="CA27" s="130">
        <v>332</v>
      </c>
      <c r="CB27" s="120">
        <v>758.53531193271272</v>
      </c>
      <c r="CC27" s="131"/>
      <c r="CD27" s="120">
        <v>192.26108685256855</v>
      </c>
      <c r="CE27" s="131"/>
      <c r="CF27" s="120">
        <f t="shared" si="41"/>
        <v>51.5</v>
      </c>
      <c r="CG27" s="122">
        <f t="shared" si="42"/>
        <v>15.6</v>
      </c>
      <c r="CH27" s="123">
        <v>257</v>
      </c>
    </row>
    <row r="28" spans="2:86" ht="18" customHeight="1" x14ac:dyDescent="0.25">
      <c r="B28" s="301" t="str">
        <f>IF($S$7=1,NL!B28,IF(cal!$S$7=2,EN!B28,IF(cal!$S$7=3,DE!B28,IF(cal!$S$7=4,FR!B28,IF(cal!$S$7=5,NR!B28,IF(cal!$S$7=6,SP!B28,IF(cal!$S$7=7,SW!B28,IF(cal!$S$7=8,TS!B28,IF(cal!$S$7=9,ExtraTaal1!B28,IF(cal!$S$7=10,ExtraTaal2!B28,IF(cal!$S$7=11,ExtraTaal3!B28,)))))))))))</f>
        <v>Briza 12 hoogte 41 cm breedte 14 cm lengte 125 cm (Type 3)</v>
      </c>
      <c r="C28" s="302">
        <f>IF($S$7=1,NL!C28,IF(cal!$S$7=2,EN!C28,IF(cal!$S$7=3,DE!C28,IF(cal!$S$7=4,FR!C28,IF(cal!$S$7=5,NR!C28,IF(cal!$S$7=6,SP!C28,))))))</f>
        <v>0</v>
      </c>
      <c r="D28" s="302">
        <f>IF($S$7=1,NL!D28,IF(cal!$S$7=2,EN!D28,IF(cal!$S$7=3,DE!D28,IF(cal!$S$7=4,FR!D28,IF(cal!$S$7=5,NR!D28,IF(cal!$S$7=6,SP!D28,))))))</f>
        <v>0</v>
      </c>
      <c r="E28" s="302">
        <f>IF($S$7=1,NL!E28,IF(cal!$S$7=2,EN!E28,IF(cal!$S$7=3,DE!E28,IF(cal!$S$7=4,FR!E28,IF(cal!$S$7=5,NR!E28,IF(cal!$S$7=6,SP!E28,))))))</f>
        <v>0</v>
      </c>
      <c r="F28" s="302">
        <f>IF($S$7=1,NL!F28,IF(cal!$S$7=2,EN!F28,IF(cal!$S$7=3,DE!F28,IF(cal!$S$7=4,FR!F28,IF(cal!$S$7=5,NR!F28,IF(cal!$S$7=6,SP!F28,))))))</f>
        <v>0</v>
      </c>
      <c r="G28" s="302">
        <f>IF($S$7=1,NL!G28,IF(cal!$S$7=2,EN!G28,IF(cal!$S$7=3,DE!G28,IF(cal!$S$7=4,FR!G28,IF(cal!$S$7=5,NR!G28,IF(cal!$S$7=6,SP!G28,))))))</f>
        <v>0</v>
      </c>
      <c r="H28" s="302">
        <f>IF($S$7=1,NL!H28,IF(cal!$S$7=2,EN!H28,IF(cal!$S$7=3,DE!H28,IF(cal!$S$7=4,FR!H28,IF(cal!$S$7=5,NR!H28,IF(cal!$S$7=6,SP!H28,))))))</f>
        <v>0</v>
      </c>
      <c r="I28" s="302">
        <f>IF($S$7=1,NL!I28,IF(cal!$S$7=2,EN!I28,IF(cal!$S$7=3,DE!I28,IF(cal!$S$7=4,FR!I28,IF(cal!$S$7=5,NR!I28,IF(cal!$S$7=6,SP!I28,))))))</f>
        <v>0</v>
      </c>
      <c r="J28" s="302">
        <f>IF($S$7=1,NL!J28,IF(cal!$S$7=2,EN!J28,IF(cal!$S$7=3,DE!J28,IF(cal!$S$7=4,FR!J28,IF(cal!$S$7=5,NR!J28,IF(cal!$S$7=6,SP!J28,))))))</f>
        <v>0</v>
      </c>
      <c r="K28" s="302">
        <f>IF($S$7=1,NL!K28,IF(cal!$S$7=2,EN!K28,IF(cal!$S$7=3,DE!K28,IF(cal!$S$7=4,FR!K28,IF(cal!$S$7=5,NR!K28,IF(cal!$S$7=6,SP!K28,))))))</f>
        <v>0</v>
      </c>
      <c r="L28" s="302">
        <f>IF($S$7=1,NL!L28,IF(cal!$S$7=2,EN!L28,IF(cal!$S$7=3,DE!L28,IF(cal!$S$7=4,FR!L28,IF(cal!$S$7=5,NR!L28,IF(cal!$S$7=6,SP!L28,))))))</f>
        <v>0</v>
      </c>
      <c r="M28" s="302">
        <f>IF($S$7=1,NL!M28,IF(cal!$S$7=2,EN!M28,IF(cal!$S$7=3,DE!M28,IF(cal!$S$7=4,FR!M28,IF(cal!$S$7=5,NR!M28,IF(cal!$S$7=6,SP!M28,))))))</f>
        <v>0</v>
      </c>
      <c r="N28" s="302">
        <f>IF($S$7=1,NL!N28,IF(cal!$S$7=2,EN!N28,IF(cal!$S$7=3,DE!N28,IF(cal!$S$7=4,FR!N28,IF(cal!$S$7=5,NR!N28,IF(cal!$S$7=6,SP!N28,))))))</f>
        <v>0</v>
      </c>
      <c r="O28" s="302">
        <f>IF($S$7=1,NL!O28,IF(cal!$S$7=2,EN!O28,IF(cal!$S$7=3,DE!O28,IF(cal!$S$7=4,FR!O28,IF(cal!$S$7=5,NR!O28,IF(cal!$S$7=6,SP!O28,))))))</f>
        <v>0</v>
      </c>
      <c r="P28" s="303">
        <f>IF($S$7=1,NL!P28,IF(cal!$S$7=2,EN!P28,IF(cal!$S$7=3,DE!P28,IF(cal!$S$7=4,FR!P28,IF(cal!$S$7=5,NR!P28,IF(cal!$S$7=6,SP!P28,))))))</f>
        <v>0</v>
      </c>
      <c r="Q28" s="61"/>
      <c r="S28" s="88" t="s">
        <v>6</v>
      </c>
      <c r="W28" s="132" t="s">
        <v>40</v>
      </c>
      <c r="X28" s="133">
        <f t="shared" si="29"/>
        <v>41</v>
      </c>
      <c r="Y28" s="132" t="s">
        <v>41</v>
      </c>
      <c r="Z28" s="133">
        <f t="shared" si="31"/>
        <v>14</v>
      </c>
      <c r="AA28" s="132" t="s">
        <v>42</v>
      </c>
      <c r="AB28" s="134">
        <f t="shared" si="33"/>
        <v>95</v>
      </c>
      <c r="AC28" s="135"/>
      <c r="AD28" s="136"/>
      <c r="AE28" s="132" t="s">
        <v>40</v>
      </c>
      <c r="AF28" s="137">
        <f>38*IF($W$4=1,1,IF($W$4=2,1/2.54))</f>
        <v>38</v>
      </c>
      <c r="AG28" s="132" t="s">
        <v>41</v>
      </c>
      <c r="AH28" s="137">
        <f>12*IF($W$4=1,1,IF($W$4=2,1/2.54))</f>
        <v>12</v>
      </c>
      <c r="AI28" s="132" t="s">
        <v>42</v>
      </c>
      <c r="AJ28" s="263">
        <f>72*IF($W$4=1,1,IF($W$4=2,1/2.54))</f>
        <v>72</v>
      </c>
      <c r="AK28" s="138"/>
      <c r="AL28" s="132" t="s">
        <v>40</v>
      </c>
      <c r="AM28" s="137">
        <f>38*IF($W$4=1,1,IF($W$4=2,1/2.54))</f>
        <v>38</v>
      </c>
      <c r="AN28" s="132" t="s">
        <v>41</v>
      </c>
      <c r="AO28" s="137">
        <f>12*IF($W$4=1,1,IF($W$4=2,1/2.54))</f>
        <v>12</v>
      </c>
      <c r="AP28" s="132" t="s">
        <v>42</v>
      </c>
      <c r="AQ28" s="263">
        <f>72*IF($W$4=1,1,IF($W$4=2,1/2.54))</f>
        <v>72</v>
      </c>
      <c r="AR28" s="138"/>
      <c r="AS28" s="132" t="s">
        <v>40</v>
      </c>
      <c r="AT28" s="137">
        <f>41*IF($W$4=1,1,IF($W$4=2,1/2.54))</f>
        <v>41</v>
      </c>
      <c r="AU28" s="132" t="s">
        <v>41</v>
      </c>
      <c r="AV28" s="137">
        <f>14*IF($W$4=1,1,IF($W$4=2,1/2.54))</f>
        <v>14</v>
      </c>
      <c r="AW28" s="132" t="s">
        <v>42</v>
      </c>
      <c r="AX28" s="263">
        <f>95*IF($W$4=1,1,IF($W$4=2,1/2.54))</f>
        <v>95</v>
      </c>
      <c r="AY28" s="138"/>
      <c r="AZ28" s="132" t="s">
        <v>40</v>
      </c>
      <c r="BA28" s="137">
        <f>41*IF($W$4=1,1,IF($W$4=2,1/2.54))</f>
        <v>41</v>
      </c>
      <c r="BB28" s="132" t="s">
        <v>41</v>
      </c>
      <c r="BC28" s="137">
        <f>14*IF($W$4=1,1,IF($W$4=2,1/2.54))</f>
        <v>14</v>
      </c>
      <c r="BD28" s="132" t="s">
        <v>42</v>
      </c>
      <c r="BE28" s="263">
        <f>95*IF($W$4=1,1,IF($W$4=2,1/2.54))</f>
        <v>95</v>
      </c>
      <c r="BF28" s="138"/>
      <c r="BG28" s="132" t="s">
        <v>40</v>
      </c>
      <c r="BH28" s="137">
        <f>52*IF($W$4=1,1,IF($W$4=2,1/2.54))</f>
        <v>52</v>
      </c>
      <c r="BI28" s="132" t="s">
        <v>41</v>
      </c>
      <c r="BJ28" s="137">
        <f>12*IF($W$4=1,1,IF($W$4=2,1/2.54))</f>
        <v>12</v>
      </c>
      <c r="BK28" s="132" t="s">
        <v>42</v>
      </c>
      <c r="BL28" s="263">
        <f>72*IF($W$4=1,1,IF($W$4=2,1/2.54))</f>
        <v>72</v>
      </c>
      <c r="BM28" s="138"/>
      <c r="BN28" s="132" t="s">
        <v>40</v>
      </c>
      <c r="BO28" s="137">
        <f>52*IF($W$4=1,1,IF($W$4=2,1/2.54))</f>
        <v>52</v>
      </c>
      <c r="BP28" s="132" t="s">
        <v>41</v>
      </c>
      <c r="BQ28" s="137">
        <f>12*IF($W$4=1,1,IF($W$4=2,1/2.54))</f>
        <v>12</v>
      </c>
      <c r="BR28" s="132" t="s">
        <v>42</v>
      </c>
      <c r="BS28" s="263">
        <f>72*IF($W$4=1,1,IF($W$4=2,1/2.54))</f>
        <v>72</v>
      </c>
      <c r="BT28" s="138"/>
      <c r="BU28" s="132" t="s">
        <v>40</v>
      </c>
      <c r="BV28" s="137">
        <f>55*IF($W$4=1,1,IF($W$4=2,1/2.54))</f>
        <v>55</v>
      </c>
      <c r="BW28" s="132" t="s">
        <v>41</v>
      </c>
      <c r="BX28" s="137">
        <f>14*IF($W$4=1,1,IF($W$4=2,1/2.54))</f>
        <v>14</v>
      </c>
      <c r="BY28" s="132" t="s">
        <v>42</v>
      </c>
      <c r="BZ28" s="263">
        <f>95*IF($W$4=1,1,IF($W$4=2,1/2.54))</f>
        <v>95</v>
      </c>
      <c r="CA28" s="138"/>
      <c r="CB28" s="132" t="s">
        <v>40</v>
      </c>
      <c r="CC28" s="139">
        <f>55*IF($W$4=1,1,IF($W$4=2,1/2.54))</f>
        <v>55</v>
      </c>
      <c r="CD28" s="132" t="s">
        <v>41</v>
      </c>
      <c r="CE28" s="139">
        <f>14*IF($W$4=1,1,IF($W$4=2,1/2.54))</f>
        <v>14</v>
      </c>
      <c r="CF28" s="132" t="s">
        <v>42</v>
      </c>
      <c r="CG28" s="263">
        <f>95*IF($W$4=1,1,IF($W$4=2,1/2.54))</f>
        <v>95</v>
      </c>
      <c r="CH28" s="140"/>
    </row>
    <row r="29" spans="2:86" ht="15" x14ac:dyDescent="0.25">
      <c r="B29" s="70">
        <v>0.2</v>
      </c>
      <c r="C29" s="71">
        <v>2</v>
      </c>
      <c r="D29" s="72">
        <f>(($W$29*$C29^4+$W$30*$C29^3+$W$31*$C29^2+$W$32*$C29+$W$33)*((((Tv_heat-Tr_heat)/LN((Tv_heat-Tl_heat)/(Tr_heat-Tl_heat)))/((75-65)/LN((75-20)/(65-20))))^1))*$D$14*$AA$11</f>
        <v>2430.7625854019607</v>
      </c>
      <c r="E29" s="95">
        <f>ROUND(((D29/$D$14)/((Tv_heat-Tr_heat)*1.163))*$E$14,IF($W$4=1,0,IF($W$4=2,2)))</f>
        <v>209</v>
      </c>
      <c r="F29" s="74">
        <f>($X$30*(E29/$E$14)^$X$32)*$F$14</f>
        <v>1.9543348859943828</v>
      </c>
      <c r="G29" s="73">
        <f>(($Y$29*$C29^4+$Y$30*$C29^3+$Y$31*$C29^2+$Y$32*$C29+$Y$33)*((((Tv_cool-Tr_cool)/LN((Tv_cool-Tl_cool)/(Tr_cool-Tl_cool)))/((16-18)/LN((16-27)/(18-27))))^S29))*$G$14*$AA$11</f>
        <v>433.432567511191</v>
      </c>
      <c r="H29" s="73">
        <f>((G29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29+0.001448)*(Tl_cool-((Tv_cool+Tr_cool)/2))+(0.016908*$C29-0.033574))*1.039&gt;1,1,1/(1+((2258*((0.622/((p_atm/(1*611*EXP(17.27*(((Tv_cool+Tr_cool)/2)/(((Tv_cool+Tr_cool)/2)+237.3))))))-1)*1000-(0.622/((p_atm/(RH*611*EXP(17.27*(Tl_cool/(Tl_cool+237.3))))))-1)*1000))/(1005*(((Tv_cool+Tr_cool)/2)-Tl_cool))))*1.039+((-0.000729*$C29+0.001448)*(Tl_cool-((Tv_cool+Tr_cool)/2))+(0.016908*$C29-0.033574))*1.039))))*$H$14</f>
        <v>528.57591361201196</v>
      </c>
      <c r="I29" s="95">
        <f>ROUND(((H29/$H$14)/((Tr_cool-Tv_cool)*1.163))*$I$14,IF($W$4=1,0,IF($W$4=2,2)))</f>
        <v>76</v>
      </c>
      <c r="J29" s="75">
        <f>($Z$30*(I29/$I$14)^$Z$32)*$J$14</f>
        <v>0.311747050009198</v>
      </c>
      <c r="K29" s="93">
        <f t="shared" ref="K29:K33" si="45">L29-8</f>
        <v>24.6</v>
      </c>
      <c r="L29" s="90">
        <f t="shared" ref="L29:L33" si="46">AA29</f>
        <v>32.6</v>
      </c>
      <c r="M29" s="76">
        <f t="shared" ref="M29:M33" si="47">AB29</f>
        <v>2.6</v>
      </c>
      <c r="N29" s="100">
        <f t="shared" ref="N29:N33" si="48">AC29*$N$14</f>
        <v>146</v>
      </c>
      <c r="O29" s="76">
        <f>(Tl_heat+(($D29/$G$14)/(1006*$N29*$K$14)))*(0.05*$C29+0.7)*$M$14+$O$14</f>
        <v>55.587466361196896</v>
      </c>
      <c r="P29" s="161">
        <f>(Tl_cool-((G29/$G$14)/(1006*N29*$K$14)))*$M$14+$O$14</f>
        <v>16.1763815966425</v>
      </c>
      <c r="Q29" s="61"/>
      <c r="S29" s="104">
        <v>1</v>
      </c>
      <c r="W29" s="113">
        <f t="shared" ref="W29:W33" si="49">IF($W$16=1,AE29,IF($W$16=2,AL29,IF($W$16=3,AS29,IF($W$16=4,AZ29,IF($W$16=5,BG29,IF($W$16=6,BN29,IF($W$16=7,BU29,IF($W$16=8,CB29))))))))</f>
        <v>-2.6386736307091345E-3</v>
      </c>
      <c r="X29" s="114" t="str">
        <f t="shared" ref="X29:X34" si="50">IF($W$16=1,AF29,IF($W$16=2,AM29,IF($W$16=3,AT29,IF($W$16=4,BA29,IF($W$16=5,BH29,IF($W$16=6,BO29,IF($W$16=7,BV29,IF($W$16=8,CC29))))))))</f>
        <v>a</v>
      </c>
      <c r="Y29" s="115">
        <f t="shared" ref="Y29:Y33" si="51">IF($W$16=1,AG29,IF($W$16=2,AN29,IF($W$16=3,AU29,IF($W$16=4,BB29,IF($W$16=5,BI29,IF($W$16=6,BP29,IF($W$16=7,BW29,IF($W$16=8,CD29))))))))</f>
        <v>0</v>
      </c>
      <c r="Z29" s="114" t="str">
        <f t="shared" ref="Z29:Z34" si="52">IF($W$16=1,AH29,IF($W$16=2,AO29,IF($W$16=3,AV29,IF($W$16=4,BC29,IF($W$16=5,BJ29,IF($W$16=6,BQ29,IF($W$16=7,BX29,IF($W$16=8,CE29))))))))</f>
        <v>a</v>
      </c>
      <c r="AA29" s="115">
        <f t="shared" ref="AA29:AA33" si="53">IF($W$16=1,AI29,IF($W$16=2,AP29,IF($W$16=3,AW29,IF($W$16=4,BD29,IF($W$16=5,BK29,IF($W$16=6,BR29,IF($W$16=7,BY29,IF($W$16=8,CF29))))))))</f>
        <v>32.6</v>
      </c>
      <c r="AB29" s="115">
        <f t="shared" ref="AB29:AB34" si="54">IF($W$16=1,AJ29,IF($W$16=2,AQ29,IF($W$16=3,AX29,IF($W$16=4,BE29,IF($W$16=5,BL29,IF($W$16=6,BS29,IF($W$16=7,BZ29,IF($W$16=8,CG29))))))))</f>
        <v>2.6</v>
      </c>
      <c r="AC29" s="115">
        <f t="shared" ref="AC29:AC33" si="55">IF($W$16=1,AK29,IF($W$16=2,AR29,IF($W$16=3,AY29,IF($W$16=4,BF29,IF($W$16=5,BM29,IF($W$16=6,BT29,IF($W$16=7,CA29,IF($W$16=8,CH29))))))))</f>
        <v>146</v>
      </c>
      <c r="AD29" s="121" t="s">
        <v>59</v>
      </c>
      <c r="AE29" s="119">
        <v>-2.3255187064524967</v>
      </c>
      <c r="AF29" s="115" t="s">
        <v>28</v>
      </c>
      <c r="AG29" s="120"/>
      <c r="AH29" s="115" t="s">
        <v>28</v>
      </c>
      <c r="AI29" s="122">
        <v>31.1</v>
      </c>
      <c r="AJ29" s="117">
        <v>2.6</v>
      </c>
      <c r="AK29" s="118">
        <v>160</v>
      </c>
      <c r="AL29" s="113"/>
      <c r="AM29" s="115" t="s">
        <v>28</v>
      </c>
      <c r="AN29" s="115"/>
      <c r="AO29" s="115" t="s">
        <v>28</v>
      </c>
      <c r="AP29" s="117">
        <f t="shared" ref="AP29:AP33" si="56">AI29</f>
        <v>31.1</v>
      </c>
      <c r="AQ29" s="117">
        <v>2.2999999999999998</v>
      </c>
      <c r="AR29" s="118">
        <v>80</v>
      </c>
      <c r="AS29" s="113">
        <v>-2.6386736307091345E-3</v>
      </c>
      <c r="AT29" s="115" t="s">
        <v>28</v>
      </c>
      <c r="AU29" s="115"/>
      <c r="AV29" s="115" t="s">
        <v>28</v>
      </c>
      <c r="AW29" s="117">
        <v>32.6</v>
      </c>
      <c r="AX29" s="117">
        <f t="shared" ref="AX29:AX33" si="57">AJ29</f>
        <v>2.6</v>
      </c>
      <c r="AY29" s="118">
        <v>146</v>
      </c>
      <c r="AZ29" s="113"/>
      <c r="BA29" s="115" t="s">
        <v>28</v>
      </c>
      <c r="BB29" s="115"/>
      <c r="BC29" s="115" t="s">
        <v>28</v>
      </c>
      <c r="BD29" s="117">
        <f t="shared" ref="BD29:BD33" si="58">AW29</f>
        <v>32.6</v>
      </c>
      <c r="BE29" s="117">
        <f t="shared" ref="BE29:BE33" si="59">AQ29</f>
        <v>2.2999999999999998</v>
      </c>
      <c r="BF29" s="118">
        <v>73</v>
      </c>
      <c r="BG29" s="113">
        <v>0.49898569310107377</v>
      </c>
      <c r="BH29" s="115" t="s">
        <v>28</v>
      </c>
      <c r="BI29" s="115"/>
      <c r="BJ29" s="115" t="s">
        <v>28</v>
      </c>
      <c r="BK29" s="117">
        <v>32</v>
      </c>
      <c r="BL29" s="117">
        <v>2.8</v>
      </c>
      <c r="BM29" s="118">
        <v>168</v>
      </c>
      <c r="BN29" s="113"/>
      <c r="BO29" s="115" t="s">
        <v>28</v>
      </c>
      <c r="BP29" s="115">
        <v>6.6301577223712979E-2</v>
      </c>
      <c r="BQ29" s="115" t="s">
        <v>28</v>
      </c>
      <c r="BR29" s="117">
        <f t="shared" ref="BR29:BR33" si="60">BK29</f>
        <v>32</v>
      </c>
      <c r="BS29" s="117">
        <v>2.2999999999999998</v>
      </c>
      <c r="BT29" s="118">
        <v>123</v>
      </c>
      <c r="BU29" s="113"/>
      <c r="BV29" s="115" t="s">
        <v>28</v>
      </c>
      <c r="BW29" s="115"/>
      <c r="BX29" s="115" t="s">
        <v>28</v>
      </c>
      <c r="BY29" s="115">
        <v>31.1</v>
      </c>
      <c r="BZ29" s="117">
        <f t="shared" ref="BZ29:BZ33" si="61">BL29</f>
        <v>2.8</v>
      </c>
      <c r="CA29" s="118">
        <v>153</v>
      </c>
      <c r="CB29" s="120">
        <v>-0.26784940737322377</v>
      </c>
      <c r="CC29" s="120" t="s">
        <v>28</v>
      </c>
      <c r="CD29" s="120"/>
      <c r="CE29" s="120" t="s">
        <v>28</v>
      </c>
      <c r="CF29" s="120">
        <f t="shared" ref="CF29:CF33" si="62">BY29</f>
        <v>31.1</v>
      </c>
      <c r="CG29" s="122">
        <f t="shared" ref="CG29:CG33" si="63">BS29</f>
        <v>2.2999999999999998</v>
      </c>
      <c r="CH29" s="123">
        <v>112</v>
      </c>
    </row>
    <row r="30" spans="2:86" ht="15" x14ac:dyDescent="0.25">
      <c r="B30" s="70">
        <v>0.4</v>
      </c>
      <c r="C30" s="71">
        <v>4</v>
      </c>
      <c r="D30" s="72">
        <f>(($W$29*$C30^4+$W$30*$C30^3+$W$31*$C30^2+$W$32*$C30+$W$33)*((((Tv_heat-Tr_heat)/LN((Tv_heat-Tl_heat)/(Tr_heat-Tl_heat)))/((75-65)/LN((75-20)/(65-20))))^1))*$D$14*$AA$11</f>
        <v>2716.9454438791599</v>
      </c>
      <c r="E30" s="95">
        <f>ROUND(((D30/$D$14)/((Tv_heat-Tr_heat)*1.163))*$E$14,IF($W$4=1,0,IF($W$4=2,2)))</f>
        <v>234</v>
      </c>
      <c r="F30" s="74">
        <f t="shared" ref="F30:F33" si="64">($X$30*(E30/$E$14)^$X$32)*$F$14</f>
        <v>2.3990471777944511</v>
      </c>
      <c r="G30" s="73">
        <f>(($Y$29*$C30^4+$Y$30*$C30^3+$Y$31*$C30^2+$Y$32*$C30+$Y$33)*((((Tv_cool-Tr_cool)/LN((Tv_cool-Tl_cool)/(Tr_cool-Tl_cool)))/((16-18)/LN((16-27)/(18-27))))^S30))*$G$14*$AA$11</f>
        <v>479.84173111297503</v>
      </c>
      <c r="H30" s="73">
        <f>((G30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30+0.001448)*(Tl_cool-((Tv_cool+Tr_cool)/2))+(0.016908*$C30-0.033574))*1.039&gt;1,1,1/(1+((2258*((0.622/((p_atm/(1*611*EXP(17.27*(((Tv_cool+Tr_cool)/2)/(((Tv_cool+Tr_cool)/2)+237.3))))))-1)*1000-(0.622/((p_atm/(RH*611*EXP(17.27*(Tl_cool/(Tl_cool+237.3))))))-1)*1000))/(1005*(((Tv_cool+Tr_cool)/2)-Tl_cool))))*1.039+((-0.000729*$C30+0.001448)*(Tl_cool-((Tv_cool+Tr_cool)/2))+(0.016908*$C30-0.033574))*1.039))))*$H$14</f>
        <v>575.39991505272519</v>
      </c>
      <c r="I30" s="95">
        <f>ROUND(((H30/$H$14)/((Tr_cool-Tv_cool)*1.163))*$I$14,IF($W$4=1,0,IF($W$4=2,2)))</f>
        <v>82</v>
      </c>
      <c r="J30" s="75">
        <f t="shared" ref="J30:J33" si="65">($Z$30*(I30/$I$14)^$Z$32)*$J$14</f>
        <v>0.35783546983267578</v>
      </c>
      <c r="K30" s="93">
        <f t="shared" si="45"/>
        <v>30.200000000000003</v>
      </c>
      <c r="L30" s="90">
        <f t="shared" si="46"/>
        <v>38.200000000000003</v>
      </c>
      <c r="M30" s="76">
        <f t="shared" si="47"/>
        <v>4.8</v>
      </c>
      <c r="N30" s="100">
        <f t="shared" si="48"/>
        <v>221</v>
      </c>
      <c r="O30" s="76">
        <f>(Tl_heat+(($D30/$G$14)/(1006*$N30*$K$14)))*(0.05*$C30+0.7)*$M$14+$O$14</f>
        <v>50.885858725701176</v>
      </c>
      <c r="P30" s="161">
        <f>(Tl_cool-((G30/$G$14)/(1006*N30*$K$14)))*$M$14+$O$14</f>
        <v>18.546671475160132</v>
      </c>
      <c r="Q30" s="61"/>
      <c r="S30" s="104">
        <v>1</v>
      </c>
      <c r="W30" s="119">
        <f t="shared" si="49"/>
        <v>1.4785661107548795</v>
      </c>
      <c r="X30" s="120">
        <f t="shared" si="50"/>
        <v>1.2048931502827451E-4</v>
      </c>
      <c r="Y30" s="120">
        <f t="shared" si="51"/>
        <v>9.571949914823337E-2</v>
      </c>
      <c r="Z30" s="120">
        <f t="shared" si="52"/>
        <v>1.2048931502827451E-4</v>
      </c>
      <c r="AA30" s="120">
        <f t="shared" si="53"/>
        <v>38.200000000000003</v>
      </c>
      <c r="AB30" s="120">
        <f t="shared" si="54"/>
        <v>4.8</v>
      </c>
      <c r="AC30" s="120">
        <f t="shared" si="55"/>
        <v>221</v>
      </c>
      <c r="AD30" s="121" t="s">
        <v>60</v>
      </c>
      <c r="AE30" s="119">
        <v>61.930659102508841</v>
      </c>
      <c r="AF30" s="120">
        <v>1.2048931502827451E-4</v>
      </c>
      <c r="AG30" s="120"/>
      <c r="AH30" s="120">
        <f>AF30</f>
        <v>1.2048931502827451E-4</v>
      </c>
      <c r="AI30" s="122">
        <v>38</v>
      </c>
      <c r="AJ30" s="122">
        <v>4.8</v>
      </c>
      <c r="AK30" s="123">
        <v>243</v>
      </c>
      <c r="AL30" s="119">
        <v>1.6137056094442337</v>
      </c>
      <c r="AM30" s="120">
        <f>AF30</f>
        <v>1.2048931502827451E-4</v>
      </c>
      <c r="AN30" s="120">
        <v>0.15081651750746569</v>
      </c>
      <c r="AO30" s="120">
        <f>AH30</f>
        <v>1.2048931502827451E-4</v>
      </c>
      <c r="AP30" s="122">
        <f t="shared" si="56"/>
        <v>38</v>
      </c>
      <c r="AQ30" s="122">
        <v>4.0999999999999996</v>
      </c>
      <c r="AR30" s="123">
        <v>164</v>
      </c>
      <c r="AS30" s="119">
        <v>1.4785661107548795</v>
      </c>
      <c r="AT30" s="120">
        <f>AF30</f>
        <v>1.2048931502827451E-4</v>
      </c>
      <c r="AU30" s="120">
        <v>9.571949914823337E-2</v>
      </c>
      <c r="AV30" s="120">
        <f>AO30</f>
        <v>1.2048931502827451E-4</v>
      </c>
      <c r="AW30" s="122">
        <v>38.200000000000003</v>
      </c>
      <c r="AX30" s="122">
        <f t="shared" si="57"/>
        <v>4.8</v>
      </c>
      <c r="AY30" s="123">
        <v>221</v>
      </c>
      <c r="AZ30" s="119">
        <v>1.0636516905207274</v>
      </c>
      <c r="BA30" s="120">
        <f>AF30</f>
        <v>1.2048931502827451E-4</v>
      </c>
      <c r="BB30" s="120">
        <v>0.17123517161163615</v>
      </c>
      <c r="BC30" s="120">
        <f>AH30</f>
        <v>1.2048931502827451E-4</v>
      </c>
      <c r="BD30" s="122">
        <f t="shared" si="58"/>
        <v>38.200000000000003</v>
      </c>
      <c r="BE30" s="122">
        <f t="shared" si="59"/>
        <v>4.0999999999999996</v>
      </c>
      <c r="BF30" s="123">
        <v>149</v>
      </c>
      <c r="BG30" s="119">
        <v>-14.0765186386179</v>
      </c>
      <c r="BH30" s="120">
        <v>2.364386444169621E-4</v>
      </c>
      <c r="BI30" s="120">
        <v>-0.46362092450028353</v>
      </c>
      <c r="BJ30" s="120">
        <f>BH30</f>
        <v>2.364386444169621E-4</v>
      </c>
      <c r="BK30" s="122">
        <v>38.299999999999997</v>
      </c>
      <c r="BL30" s="122">
        <v>5.4</v>
      </c>
      <c r="BM30" s="123">
        <v>259</v>
      </c>
      <c r="BN30" s="119">
        <v>1.551976572648176</v>
      </c>
      <c r="BO30" s="120">
        <f>AF30</f>
        <v>1.2048931502827451E-4</v>
      </c>
      <c r="BP30" s="120">
        <v>-1.8213867274960225</v>
      </c>
      <c r="BQ30" s="120">
        <f>BJ30</f>
        <v>2.364386444169621E-4</v>
      </c>
      <c r="BR30" s="122">
        <f t="shared" si="60"/>
        <v>38.299999999999997</v>
      </c>
      <c r="BS30" s="122">
        <v>4.2</v>
      </c>
      <c r="BT30" s="123">
        <v>201</v>
      </c>
      <c r="BU30" s="119">
        <v>-0.88150849635886974</v>
      </c>
      <c r="BV30" s="120">
        <f>BH30</f>
        <v>2.364386444169621E-4</v>
      </c>
      <c r="BW30" s="120">
        <v>-0.26156927868117719</v>
      </c>
      <c r="BX30" s="120">
        <f>BJ30</f>
        <v>2.364386444169621E-4</v>
      </c>
      <c r="BY30" s="120">
        <v>37.1</v>
      </c>
      <c r="BZ30" s="122">
        <f t="shared" si="61"/>
        <v>5.4</v>
      </c>
      <c r="CA30" s="123">
        <v>236</v>
      </c>
      <c r="CB30" s="120">
        <v>7.5452088334921381</v>
      </c>
      <c r="CC30" s="120">
        <f>BO30</f>
        <v>1.2048931502827451E-4</v>
      </c>
      <c r="CD30" s="120">
        <v>-0.20123481722729702</v>
      </c>
      <c r="CE30" s="120">
        <f>BQ30</f>
        <v>2.364386444169621E-4</v>
      </c>
      <c r="CF30" s="120">
        <f t="shared" si="62"/>
        <v>37.1</v>
      </c>
      <c r="CG30" s="122">
        <f t="shared" si="63"/>
        <v>4.2</v>
      </c>
      <c r="CH30" s="123">
        <v>183</v>
      </c>
    </row>
    <row r="31" spans="2:86" ht="15" x14ac:dyDescent="0.25">
      <c r="B31" s="70">
        <v>0.6</v>
      </c>
      <c r="C31" s="71">
        <v>6</v>
      </c>
      <c r="D31" s="72">
        <f>(($W$29*$C31^4+$W$30*$C31^3+$W$31*$C31^2+$W$32*$C31+$W$33)*((((Tv_heat-Tr_heat)/LN((Tv_heat-Tl_heat)/(Tr_heat-Tl_heat)))/((75-65)/LN((75-20)/(65-20))))^1))*$D$14*$AA$11</f>
        <v>3089.5460115724723</v>
      </c>
      <c r="E31" s="95">
        <f>ROUND(((D31/$D$14)/((Tv_heat-Tr_heat)*1.163))*$E$14,IF($W$4=1,0,IF($W$4=2,2)))</f>
        <v>266</v>
      </c>
      <c r="F31" s="74">
        <f t="shared" si="64"/>
        <v>3.0272467676397294</v>
      </c>
      <c r="G31" s="73">
        <f>(($Y$29*$C31^4+$Y$30*$C31^3+$Y$31*$C31^2+$Y$32*$C31+$Y$33)*((((Tv_cool-Tr_cool)/LN((Tv_cool-Tl_cool)/(Tr_cool-Tl_cool)))/((16-18)/LN((16-27)/(18-27))))^S31))*$G$14*$AA$11</f>
        <v>547.61906981262803</v>
      </c>
      <c r="H31" s="73">
        <f>((G31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31+0.001448)*(Tl_cool-((Tv_cool+Tr_cool)/2))+(0.016908*$C31-0.033574))*1.039&gt;1,1,1/(1+((2258*((0.622/((p_atm/(1*611*EXP(17.27*(((Tv_cool+Tr_cool)/2)/(((Tv_cool+Tr_cool)/2)+237.3))))))-1)*1000-(0.622/((p_atm/(RH*611*EXP(17.27*(Tl_cool/(Tl_cool+237.3))))))-1)*1000))/(1005*(((Tv_cool+Tr_cool)/2)-Tl_cool))))*1.039+((-0.000729*$C31+0.001448)*(Tl_cool-((Tv_cool+Tr_cool)/2))+(0.016908*$C31-0.033574))*1.039))))*$H$14</f>
        <v>645.88832039734746</v>
      </c>
      <c r="I31" s="95">
        <f>ROUND(((H31/$H$14)/((Tr_cool-Tv_cool)*1.163))*$I$14,IF($W$4=1,0,IF($W$4=2,2)))</f>
        <v>93</v>
      </c>
      <c r="J31" s="75">
        <f t="shared" si="65"/>
        <v>0.44965960948814393</v>
      </c>
      <c r="K31" s="93">
        <f t="shared" si="45"/>
        <v>37</v>
      </c>
      <c r="L31" s="90">
        <f t="shared" si="46"/>
        <v>45</v>
      </c>
      <c r="M31" s="76">
        <f t="shared" si="47"/>
        <v>8</v>
      </c>
      <c r="N31" s="100">
        <f t="shared" si="48"/>
        <v>298</v>
      </c>
      <c r="O31" s="76">
        <f>(Tl_heat+(($D31/$G$14)/(1006*$N31*$K$14)))*(0.05*$C31+0.7)*$M$14+$O$14</f>
        <v>50.814593036833827</v>
      </c>
      <c r="P31" s="161">
        <f>(Tl_cool-((G31/$G$14)/(1006*N31*$K$14)))*$M$14+$O$14</f>
        <v>19.538142914111511</v>
      </c>
      <c r="Q31" s="61"/>
      <c r="S31" s="104">
        <v>1</v>
      </c>
      <c r="W31" s="119">
        <f t="shared" si="49"/>
        <v>-6.6767123139735007</v>
      </c>
      <c r="X31" s="114" t="str">
        <f t="shared" si="50"/>
        <v>b</v>
      </c>
      <c r="Y31" s="120">
        <f t="shared" si="51"/>
        <v>0.78279583120261287</v>
      </c>
      <c r="Z31" s="114" t="str">
        <f t="shared" si="52"/>
        <v>b</v>
      </c>
      <c r="AA31" s="120">
        <f t="shared" si="53"/>
        <v>45</v>
      </c>
      <c r="AB31" s="120">
        <f t="shared" si="54"/>
        <v>8</v>
      </c>
      <c r="AC31" s="120">
        <f t="shared" si="55"/>
        <v>298</v>
      </c>
      <c r="AD31" s="121" t="s">
        <v>61</v>
      </c>
      <c r="AE31" s="119">
        <v>-556.93817232262245</v>
      </c>
      <c r="AF31" s="120" t="s">
        <v>29</v>
      </c>
      <c r="AG31" s="120">
        <v>2.4192032034123994</v>
      </c>
      <c r="AH31" s="120" t="s">
        <v>29</v>
      </c>
      <c r="AI31" s="122">
        <v>46</v>
      </c>
      <c r="AJ31" s="122">
        <v>8</v>
      </c>
      <c r="AK31" s="123">
        <v>328</v>
      </c>
      <c r="AL31" s="119">
        <v>-14.064601457374017</v>
      </c>
      <c r="AM31" s="120" t="s">
        <v>29</v>
      </c>
      <c r="AN31" s="120">
        <v>-0.67547236028043489</v>
      </c>
      <c r="AO31" s="120" t="s">
        <v>29</v>
      </c>
      <c r="AP31" s="122">
        <f t="shared" si="56"/>
        <v>46</v>
      </c>
      <c r="AQ31" s="122">
        <v>7.4</v>
      </c>
      <c r="AR31" s="123">
        <v>242</v>
      </c>
      <c r="AS31" s="119">
        <v>-6.6767123139735007</v>
      </c>
      <c r="AT31" s="120" t="s">
        <v>29</v>
      </c>
      <c r="AU31" s="120">
        <v>0.78279583120261287</v>
      </c>
      <c r="AV31" s="120" t="s">
        <v>29</v>
      </c>
      <c r="AW31" s="122">
        <v>45</v>
      </c>
      <c r="AX31" s="122">
        <f t="shared" si="57"/>
        <v>8</v>
      </c>
      <c r="AY31" s="123">
        <v>298</v>
      </c>
      <c r="AZ31" s="119">
        <v>-4.2358848975583312</v>
      </c>
      <c r="BA31" s="120" t="s">
        <v>29</v>
      </c>
      <c r="BB31" s="120">
        <v>-1.4664081399657958</v>
      </c>
      <c r="BC31" s="120" t="s">
        <v>29</v>
      </c>
      <c r="BD31" s="122">
        <f t="shared" si="58"/>
        <v>45</v>
      </c>
      <c r="BE31" s="122">
        <f t="shared" si="59"/>
        <v>7.4</v>
      </c>
      <c r="BF31" s="123">
        <v>220</v>
      </c>
      <c r="BG31" s="119">
        <v>136.64465681006797</v>
      </c>
      <c r="BH31" s="120" t="s">
        <v>29</v>
      </c>
      <c r="BI31" s="120">
        <v>8.7423560272215806</v>
      </c>
      <c r="BJ31" s="120" t="s">
        <v>29</v>
      </c>
      <c r="BK31" s="122">
        <v>45.7</v>
      </c>
      <c r="BL31" s="122">
        <v>10</v>
      </c>
      <c r="BM31" s="123">
        <v>353</v>
      </c>
      <c r="BN31" s="119">
        <v>-16.256862097163722</v>
      </c>
      <c r="BO31" s="120" t="s">
        <v>29</v>
      </c>
      <c r="BP31" s="120">
        <v>17.495928000536857</v>
      </c>
      <c r="BQ31" s="120" t="s">
        <v>29</v>
      </c>
      <c r="BR31" s="122">
        <f t="shared" si="60"/>
        <v>45.7</v>
      </c>
      <c r="BS31" s="122">
        <v>7.5</v>
      </c>
      <c r="BT31" s="123">
        <v>286</v>
      </c>
      <c r="BU31" s="119">
        <v>10.601704948047237</v>
      </c>
      <c r="BV31" s="120" t="s">
        <v>29</v>
      </c>
      <c r="BW31" s="120">
        <v>4.6734617843004802</v>
      </c>
      <c r="BX31" s="120" t="s">
        <v>29</v>
      </c>
      <c r="BY31" s="120">
        <v>44.5</v>
      </c>
      <c r="BZ31" s="122">
        <f t="shared" si="61"/>
        <v>10</v>
      </c>
      <c r="CA31" s="123">
        <v>321</v>
      </c>
      <c r="CB31" s="120">
        <v>-62.125133979184696</v>
      </c>
      <c r="CC31" s="120" t="s">
        <v>29</v>
      </c>
      <c r="CD31" s="120">
        <v>3.3370194060807656</v>
      </c>
      <c r="CE31" s="120" t="s">
        <v>29</v>
      </c>
      <c r="CF31" s="120">
        <f t="shared" si="62"/>
        <v>44.5</v>
      </c>
      <c r="CG31" s="122">
        <f t="shared" si="63"/>
        <v>7.5</v>
      </c>
      <c r="CH31" s="123">
        <v>260</v>
      </c>
    </row>
    <row r="32" spans="2:86" ht="15" x14ac:dyDescent="0.25">
      <c r="B32" s="70">
        <v>0.8</v>
      </c>
      <c r="C32" s="71">
        <v>8</v>
      </c>
      <c r="D32" s="72">
        <f>(($W$29*$C32^4+$W$30*$C32^3+$W$31*$C32^2+$W$32*$C32+$W$33)*((((Tv_heat-Tr_heat)/LN((Tv_heat-Tl_heat)/(Tr_heat-Tl_heat)))/((75-65)/LN((75-20)/(65-20))))^1))*$D$14*$AA$11</f>
        <v>3617.0023351126511</v>
      </c>
      <c r="E32" s="95">
        <f>ROUND(((D32/$D$14)/((Tv_heat-Tr_heat)*1.163))*$E$14,IF($W$4=1,0,IF($W$4=2,2)))</f>
        <v>311</v>
      </c>
      <c r="F32" s="74">
        <f t="shared" si="64"/>
        <v>4.0199260404040116</v>
      </c>
      <c r="G32" s="73">
        <f>(($Y$29*$C32^4+$Y$30*$C32^3+$Y$31*$C32^2+$Y$32*$C32+$Y$33)*((((Tv_cool-Tr_cool)/LN((Tv_cool-Tl_cool)/(Tr_cool-Tl_cool)))/((16-18)/LN((16-27)/(18-27))))^S32))*$G$14*$AA$11</f>
        <v>643.1184805911148</v>
      </c>
      <c r="H32" s="73">
        <f>((G32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32+0.001448)*(Tl_cool-((Tv_cool+Tr_cool)/2))+(0.016908*$C32-0.033574))*1.039&gt;1,1,1/(1+((2258*((0.622/((p_atm/(1*611*EXP(17.27*(((Tv_cool+Tr_cool)/2)/(((Tv_cool+Tr_cool)/2)+237.3))))))-1)*1000-(0.622/((p_atm/(RH*611*EXP(17.27*(Tl_cool/(Tl_cool+237.3))))))-1)*1000))/(1005*(((Tv_cool+Tr_cool)/2)-Tl_cool))))*1.039+((-0.000729*$C32+0.001448)*(Tl_cool-((Tv_cool+Tr_cool)/2))+(0.016908*$C32-0.033574))*1.039))))*$H$14</f>
        <v>746.26683275538505</v>
      </c>
      <c r="I32" s="95">
        <f>ROUND(((H32/$H$14)/((Tr_cool-Tv_cool)*1.163))*$I$14,IF($W$4=1,0,IF($W$4=2,2)))</f>
        <v>107</v>
      </c>
      <c r="J32" s="75">
        <f t="shared" si="65"/>
        <v>0.57995225288353469</v>
      </c>
      <c r="K32" s="93">
        <f t="shared" si="45"/>
        <v>42.5</v>
      </c>
      <c r="L32" s="90">
        <f t="shared" si="46"/>
        <v>50.5</v>
      </c>
      <c r="M32" s="76">
        <f t="shared" si="47"/>
        <v>14</v>
      </c>
      <c r="N32" s="100">
        <f t="shared" si="48"/>
        <v>381</v>
      </c>
      <c r="O32" s="76">
        <f>(Tl_heat+(($D32/$G$14)/(1006*$N32*$K$14)))*(0.05*$C32+0.7)*$M$14+$O$14</f>
        <v>53.038057385333971</v>
      </c>
      <c r="P32" s="161">
        <f>(Tl_cool-((G32/$G$14)/(1006*N32*$K$14)))*$M$14+$O$14</f>
        <v>19.98300062347721</v>
      </c>
      <c r="Q32" s="61"/>
      <c r="S32" s="104">
        <v>1</v>
      </c>
      <c r="W32" s="119">
        <f t="shared" si="49"/>
        <v>142.06849285698914</v>
      </c>
      <c r="X32" s="120">
        <f t="shared" si="50"/>
        <v>1.8145625016160318</v>
      </c>
      <c r="Y32" s="120">
        <f t="shared" si="51"/>
        <v>9.4024328441996587</v>
      </c>
      <c r="Z32" s="120">
        <f t="shared" si="52"/>
        <v>1.8145625016160318</v>
      </c>
      <c r="AA32" s="120">
        <f t="shared" si="53"/>
        <v>50.5</v>
      </c>
      <c r="AB32" s="120">
        <f t="shared" si="54"/>
        <v>14</v>
      </c>
      <c r="AC32" s="120">
        <f t="shared" si="55"/>
        <v>381</v>
      </c>
      <c r="AD32" s="121" t="s">
        <v>62</v>
      </c>
      <c r="AE32" s="119">
        <v>2180.4689883730189</v>
      </c>
      <c r="AF32" s="120">
        <v>1.8145625016160318</v>
      </c>
      <c r="AG32" s="120">
        <v>7.0180766933441818</v>
      </c>
      <c r="AH32" s="120">
        <f>AF32</f>
        <v>1.8145625016160318</v>
      </c>
      <c r="AI32" s="122">
        <v>52</v>
      </c>
      <c r="AJ32" s="122">
        <v>14</v>
      </c>
      <c r="AK32" s="123">
        <v>419</v>
      </c>
      <c r="AL32" s="119">
        <v>185.79907596861634</v>
      </c>
      <c r="AM32" s="120">
        <f>AF32</f>
        <v>1.8145625016160318</v>
      </c>
      <c r="AN32" s="120">
        <v>17.105182113376028</v>
      </c>
      <c r="AO32" s="120">
        <f>AH32</f>
        <v>1.8145625016160318</v>
      </c>
      <c r="AP32" s="122">
        <f t="shared" si="56"/>
        <v>52</v>
      </c>
      <c r="AQ32" s="122">
        <v>12.6</v>
      </c>
      <c r="AR32" s="123">
        <v>305</v>
      </c>
      <c r="AS32" s="119">
        <v>142.06849285698914</v>
      </c>
      <c r="AT32" s="120">
        <f>AF32</f>
        <v>1.8145625016160318</v>
      </c>
      <c r="AU32" s="120">
        <v>9.4024328441996587</v>
      </c>
      <c r="AV32" s="120">
        <f>AO32</f>
        <v>1.8145625016160318</v>
      </c>
      <c r="AW32" s="122">
        <v>50.5</v>
      </c>
      <c r="AX32" s="122">
        <f t="shared" si="57"/>
        <v>14</v>
      </c>
      <c r="AY32" s="123">
        <v>381</v>
      </c>
      <c r="AZ32" s="119">
        <v>114.94135317144828</v>
      </c>
      <c r="BA32" s="120">
        <f>AF32</f>
        <v>1.8145625016160318</v>
      </c>
      <c r="BB32" s="120">
        <v>22.25052488649974</v>
      </c>
      <c r="BC32" s="120">
        <f>AH32</f>
        <v>1.8145625016160318</v>
      </c>
      <c r="BD32" s="122">
        <f t="shared" si="58"/>
        <v>50.5</v>
      </c>
      <c r="BE32" s="122">
        <f t="shared" si="59"/>
        <v>12.6</v>
      </c>
      <c r="BF32" s="123">
        <v>278</v>
      </c>
      <c r="BG32" s="119">
        <v>-107.32250508333314</v>
      </c>
      <c r="BH32" s="120">
        <v>1.8120794599034276</v>
      </c>
      <c r="BI32" s="120">
        <v>4.1133778972978119</v>
      </c>
      <c r="BJ32" s="120">
        <f>BH32</f>
        <v>1.8120794599034276</v>
      </c>
      <c r="BK32" s="122">
        <v>51.7</v>
      </c>
      <c r="BL32" s="122">
        <v>18</v>
      </c>
      <c r="BM32" s="123">
        <v>437</v>
      </c>
      <c r="BN32" s="119">
        <v>174.26190449452022</v>
      </c>
      <c r="BO32" s="120">
        <f>AF32</f>
        <v>1.8145625016160318</v>
      </c>
      <c r="BP32" s="120">
        <v>-28.250535183194774</v>
      </c>
      <c r="BQ32" s="120">
        <f>BJ32</f>
        <v>1.8120794599034276</v>
      </c>
      <c r="BR32" s="122">
        <f t="shared" si="60"/>
        <v>51.7</v>
      </c>
      <c r="BS32" s="122">
        <v>12.8</v>
      </c>
      <c r="BT32" s="123">
        <v>360</v>
      </c>
      <c r="BU32" s="119">
        <v>390.82080301438873</v>
      </c>
      <c r="BV32" s="120">
        <f>BH32</f>
        <v>1.8120794599034276</v>
      </c>
      <c r="BW32" s="120">
        <v>26.676957361613045</v>
      </c>
      <c r="BX32" s="120">
        <f>BJ32</f>
        <v>1.8120794599034276</v>
      </c>
      <c r="BY32" s="120">
        <v>50.5</v>
      </c>
      <c r="BZ32" s="122">
        <f t="shared" si="61"/>
        <v>18</v>
      </c>
      <c r="CA32" s="123">
        <v>398</v>
      </c>
      <c r="CB32" s="120">
        <v>307.8019217888039</v>
      </c>
      <c r="CC32" s="120">
        <f>BO32</f>
        <v>1.8145625016160318</v>
      </c>
      <c r="CD32" s="120">
        <v>23.256603866829582</v>
      </c>
      <c r="CE32" s="120">
        <f>BQ32</f>
        <v>1.8120794599034276</v>
      </c>
      <c r="CF32" s="120">
        <f t="shared" si="62"/>
        <v>50.5</v>
      </c>
      <c r="CG32" s="122">
        <f t="shared" si="63"/>
        <v>12.8</v>
      </c>
      <c r="CH32" s="123">
        <v>328</v>
      </c>
    </row>
    <row r="33" spans="2:86" ht="15" x14ac:dyDescent="0.25">
      <c r="B33" s="70">
        <v>1</v>
      </c>
      <c r="C33" s="71">
        <v>10</v>
      </c>
      <c r="D33" s="72">
        <f>(($W$29*$C33^4+$W$30*$C33^3+$W$31*$C33^2+$W$32*$C33+$W$33)*((((Tv_heat-Tr_heat)/LN((Tv_heat-Tl_heat)/(Tr_heat-Tl_heat)))/((75-65)/LN((75-20)/(65-20))))^1))*$D$14*$AA$11</f>
        <v>4366.7392104562587</v>
      </c>
      <c r="E33" s="95">
        <f>ROUND(((D33/$D$14)/((Tv_heat-Tr_heat)*1.163))*$E$14,IF($W$4=1,0,IF($W$4=2,2)))</f>
        <v>375</v>
      </c>
      <c r="F33" s="74">
        <f t="shared" si="64"/>
        <v>5.6453276342813101</v>
      </c>
      <c r="G33" s="73">
        <f>(($Y$29*$C33^4+$Y$30*$C33^3+$Y$31*$C33^2+$Y$32*$C33+$Y$33)*((((Tv_cool-Tr_cool)/LN((Tv_cool-Tl_cool)/(Tr_cool-Tl_cool)))/((16-18)/LN((16-27)/(18-27))))^S33))*$G$14*$AA$11</f>
        <v>772.69386042939959</v>
      </c>
      <c r="H33" s="73">
        <f>((G33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33+0.001448)*(Tl_cool-((Tv_cool+Tr_cool)/2))+(0.016908*$C33-0.033574))*1.039&gt;1,1,1/(1+((2258*((0.622/((p_atm/(1*611*EXP(17.27*(((Tv_cool+Tr_cool)/2)/(((Tv_cool+Tr_cool)/2)+237.3))))))-1)*1000-(0.622/((p_atm/(RH*611*EXP(17.27*(Tl_cool/(Tl_cool+237.3))))))-1)*1000))/(1005*(((Tv_cool+Tr_cool)/2)-Tl_cool))))*1.039+((-0.000729*$C33+0.001448)*(Tl_cool-((Tv_cool+Tr_cool)/2))+(0.016908*$C33-0.033574))*1.039))))*$H$14</f>
        <v>882.36511507164562</v>
      </c>
      <c r="I33" s="95">
        <f>ROUND(((H33/$H$14)/((Tr_cool-Tv_cool)*1.163))*$I$14,IF($W$4=1,0,IF($W$4=2,2)))</f>
        <v>126</v>
      </c>
      <c r="J33" s="75">
        <f t="shared" si="65"/>
        <v>0.78019320961980299</v>
      </c>
      <c r="K33" s="93">
        <f t="shared" si="45"/>
        <v>47</v>
      </c>
      <c r="L33" s="90">
        <f t="shared" si="46"/>
        <v>55</v>
      </c>
      <c r="M33" s="76">
        <f t="shared" si="47"/>
        <v>24</v>
      </c>
      <c r="N33" s="100">
        <f t="shared" si="48"/>
        <v>448</v>
      </c>
      <c r="O33" s="76">
        <f>(Tl_heat+(($D33/$G$14)/(1006*$N33*$K$14)))*(0.05*$C33+0.7)*$M$14+$O$14</f>
        <v>58.764702801911568</v>
      </c>
      <c r="P33" s="161">
        <f>(Tl_cool-((G33/$G$14)/(1006*N33*$K$14)))*$M$14+$O$14</f>
        <v>19.873659130981341</v>
      </c>
      <c r="Q33" s="61"/>
      <c r="S33" s="104">
        <v>1</v>
      </c>
      <c r="W33" s="124">
        <f t="shared" si="49"/>
        <v>2161.5461388359286</v>
      </c>
      <c r="X33" s="125">
        <f t="shared" si="50"/>
        <v>0</v>
      </c>
      <c r="Y33" s="126">
        <f t="shared" si="51"/>
        <v>290.7155392231125</v>
      </c>
      <c r="Z33" s="125">
        <f t="shared" si="52"/>
        <v>0</v>
      </c>
      <c r="AA33" s="126">
        <f t="shared" si="53"/>
        <v>55</v>
      </c>
      <c r="AB33" s="126">
        <f t="shared" si="54"/>
        <v>24</v>
      </c>
      <c r="AC33" s="126">
        <f t="shared" si="55"/>
        <v>448</v>
      </c>
      <c r="AD33" s="127" t="s">
        <v>63</v>
      </c>
      <c r="AE33" s="124">
        <v>12.559735529856832</v>
      </c>
      <c r="AF33" s="128"/>
      <c r="AG33" s="126">
        <v>302.41413403446739</v>
      </c>
      <c r="AH33" s="128"/>
      <c r="AI33" s="129">
        <v>56.5</v>
      </c>
      <c r="AJ33" s="129">
        <v>24</v>
      </c>
      <c r="AK33" s="130">
        <v>492</v>
      </c>
      <c r="AL33" s="124">
        <v>1773.7132602943027</v>
      </c>
      <c r="AM33" s="128"/>
      <c r="AN33" s="126">
        <v>237.24710921217832</v>
      </c>
      <c r="AO33" s="128"/>
      <c r="AP33" s="129">
        <f t="shared" si="56"/>
        <v>56.5</v>
      </c>
      <c r="AQ33" s="129">
        <v>20.9</v>
      </c>
      <c r="AR33" s="130">
        <v>400</v>
      </c>
      <c r="AS33" s="124">
        <v>2161.5461388359286</v>
      </c>
      <c r="AT33" s="128"/>
      <c r="AU33" s="126">
        <v>290.7155392231125</v>
      </c>
      <c r="AV33" s="128"/>
      <c r="AW33" s="129">
        <v>55</v>
      </c>
      <c r="AX33" s="129">
        <f t="shared" si="57"/>
        <v>24</v>
      </c>
      <c r="AY33" s="130">
        <v>448</v>
      </c>
      <c r="AZ33" s="124">
        <v>1703.0145175312946</v>
      </c>
      <c r="BA33" s="128"/>
      <c r="BB33" s="126">
        <v>199.95460885224878</v>
      </c>
      <c r="BC33" s="128"/>
      <c r="BD33" s="129">
        <f t="shared" si="58"/>
        <v>55</v>
      </c>
      <c r="BE33" s="129">
        <f t="shared" si="59"/>
        <v>20.9</v>
      </c>
      <c r="BF33" s="130">
        <v>364</v>
      </c>
      <c r="BG33" s="124">
        <v>3667.2959327216463</v>
      </c>
      <c r="BH33" s="128"/>
      <c r="BI33" s="126">
        <v>468.36560109162576</v>
      </c>
      <c r="BJ33" s="128"/>
      <c r="BK33" s="129">
        <v>56</v>
      </c>
      <c r="BL33" s="129">
        <v>28.8</v>
      </c>
      <c r="BM33" s="130">
        <v>513</v>
      </c>
      <c r="BN33" s="124">
        <v>1354.4188592106093</v>
      </c>
      <c r="BO33" s="128"/>
      <c r="BP33" s="126">
        <v>381.7681116328352</v>
      </c>
      <c r="BQ33" s="128"/>
      <c r="BR33" s="129">
        <f t="shared" si="60"/>
        <v>56</v>
      </c>
      <c r="BS33" s="129">
        <v>22.3</v>
      </c>
      <c r="BT33" s="130">
        <v>423</v>
      </c>
      <c r="BU33" s="124">
        <v>2743.7411285852236</v>
      </c>
      <c r="BV33" s="128"/>
      <c r="BW33" s="126">
        <v>404.43855949026653</v>
      </c>
      <c r="BX33" s="128"/>
      <c r="BY33" s="126">
        <v>54.5</v>
      </c>
      <c r="BZ33" s="129">
        <f t="shared" si="61"/>
        <v>28.8</v>
      </c>
      <c r="CA33" s="130">
        <v>467</v>
      </c>
      <c r="CB33" s="120">
        <v>1146.7350020499362</v>
      </c>
      <c r="CC33" s="131"/>
      <c r="CD33" s="120">
        <v>292.49539559526102</v>
      </c>
      <c r="CE33" s="131"/>
      <c r="CF33" s="120">
        <f t="shared" si="62"/>
        <v>54.5</v>
      </c>
      <c r="CG33" s="122">
        <f t="shared" si="63"/>
        <v>22.3</v>
      </c>
      <c r="CH33" s="123">
        <v>385</v>
      </c>
    </row>
    <row r="34" spans="2:86" ht="16.899999999999999" customHeight="1" x14ac:dyDescent="0.25">
      <c r="B34" s="301" t="str">
        <f>IF($S$7=1,NL!B34,IF(cal!$S$7=2,EN!B34,IF(cal!$S$7=3,DE!B34,IF(cal!$S$7=4,FR!B34,IF(cal!$S$7=5,NR!B34,IF(cal!$S$7=6,SP!B34,IF(cal!$S$7=7,SW!B34,IF(cal!$S$7=8,TS!B34,IF(cal!$S$7=9,ExtraTaal1!B34,IF(cal!$S$7=10,ExtraTaal2!B34,IF(cal!$S$7=11,ExtraTaal3!B34,)))))))))))</f>
        <v>Briza 12 hoogte 41 cm breedte 14 cm lengte 145 cm (Type 4)</v>
      </c>
      <c r="C34" s="302">
        <f>IF($S$7=1,NL!C34,IF(cal!$S$7=2,EN!C34,IF(cal!$S$7=3,DE!C34,IF(cal!$S$7=4,FR!C34,IF(cal!$S$7=5,NR!C34,IF(cal!$S$7=6,SP!C34,))))))</f>
        <v>0</v>
      </c>
      <c r="D34" s="302">
        <f>IF($S$7=1,NL!D34,IF(cal!$S$7=2,EN!D34,IF(cal!$S$7=3,DE!D34,IF(cal!$S$7=4,FR!D34,IF(cal!$S$7=5,NR!D34,IF(cal!$S$7=6,SP!D34,))))))</f>
        <v>0</v>
      </c>
      <c r="E34" s="302">
        <f>IF($S$7=1,NL!E34,IF(cal!$S$7=2,EN!E34,IF(cal!$S$7=3,DE!E34,IF(cal!$S$7=4,FR!E34,IF(cal!$S$7=5,NR!E34,IF(cal!$S$7=6,SP!E34,))))))</f>
        <v>0</v>
      </c>
      <c r="F34" s="302">
        <f>IF($S$7=1,NL!F34,IF(cal!$S$7=2,EN!F34,IF(cal!$S$7=3,DE!F34,IF(cal!$S$7=4,FR!F34,IF(cal!$S$7=5,NR!F34,IF(cal!$S$7=6,SP!F34,))))))</f>
        <v>0</v>
      </c>
      <c r="G34" s="302">
        <f>IF($S$7=1,NL!G34,IF(cal!$S$7=2,EN!G34,IF(cal!$S$7=3,DE!G34,IF(cal!$S$7=4,FR!G34,IF(cal!$S$7=5,NR!G34,IF(cal!$S$7=6,SP!G34,))))))</f>
        <v>0</v>
      </c>
      <c r="H34" s="302">
        <f>IF($S$7=1,NL!H34,IF(cal!$S$7=2,EN!H34,IF(cal!$S$7=3,DE!H34,IF(cal!$S$7=4,FR!H34,IF(cal!$S$7=5,NR!H34,IF(cal!$S$7=6,SP!H34,))))))</f>
        <v>0</v>
      </c>
      <c r="I34" s="302">
        <f>IF($S$7=1,NL!I34,IF(cal!$S$7=2,EN!I34,IF(cal!$S$7=3,DE!I34,IF(cal!$S$7=4,FR!I34,IF(cal!$S$7=5,NR!I34,IF(cal!$S$7=6,SP!I34,))))))</f>
        <v>0</v>
      </c>
      <c r="J34" s="302">
        <f>IF($S$7=1,NL!J34,IF(cal!$S$7=2,EN!J34,IF(cal!$S$7=3,DE!J34,IF(cal!$S$7=4,FR!J34,IF(cal!$S$7=5,NR!J34,IF(cal!$S$7=6,SP!J34,))))))</f>
        <v>0</v>
      </c>
      <c r="K34" s="302">
        <f>IF($S$7=1,NL!K34,IF(cal!$S$7=2,EN!K34,IF(cal!$S$7=3,DE!K34,IF(cal!$S$7=4,FR!K34,IF(cal!$S$7=5,NR!K34,IF(cal!$S$7=6,SP!K34,))))))</f>
        <v>0</v>
      </c>
      <c r="L34" s="302">
        <f>IF($S$7=1,NL!L34,IF(cal!$S$7=2,EN!L34,IF(cal!$S$7=3,DE!L34,IF(cal!$S$7=4,FR!L34,IF(cal!$S$7=5,NR!L34,IF(cal!$S$7=6,SP!L34,))))))</f>
        <v>0</v>
      </c>
      <c r="M34" s="302">
        <f>IF($S$7=1,NL!M34,IF(cal!$S$7=2,EN!M34,IF(cal!$S$7=3,DE!M34,IF(cal!$S$7=4,FR!M34,IF(cal!$S$7=5,NR!M34,IF(cal!$S$7=6,SP!M34,))))))</f>
        <v>0</v>
      </c>
      <c r="N34" s="302">
        <f>IF($S$7=1,NL!N34,IF(cal!$S$7=2,EN!N34,IF(cal!$S$7=3,DE!N34,IF(cal!$S$7=4,FR!N34,IF(cal!$S$7=5,NR!N34,IF(cal!$S$7=6,SP!N34,))))))</f>
        <v>0</v>
      </c>
      <c r="O34" s="302">
        <f>IF($S$7=1,NL!O34,IF(cal!$S$7=2,EN!O34,IF(cal!$S$7=3,DE!O34,IF(cal!$S$7=4,FR!O34,IF(cal!$S$7=5,NR!O34,IF(cal!$S$7=6,SP!O34,))))))</f>
        <v>0</v>
      </c>
      <c r="P34" s="303">
        <f>IF($S$7=1,NL!P34,IF(cal!$S$7=2,EN!P34,IF(cal!$S$7=3,DE!P34,IF(cal!$S$7=4,FR!P34,IF(cal!$S$7=5,NR!P34,IF(cal!$S$7=6,SP!P34,))))))</f>
        <v>0</v>
      </c>
      <c r="Q34" s="61"/>
      <c r="S34" s="88" t="s">
        <v>6</v>
      </c>
      <c r="W34" s="132" t="s">
        <v>40</v>
      </c>
      <c r="X34" s="133">
        <f t="shared" si="50"/>
        <v>41</v>
      </c>
      <c r="Y34" s="132" t="s">
        <v>41</v>
      </c>
      <c r="Z34" s="133">
        <f t="shared" si="52"/>
        <v>14</v>
      </c>
      <c r="AA34" s="132" t="s">
        <v>42</v>
      </c>
      <c r="AB34" s="134">
        <f t="shared" si="54"/>
        <v>125</v>
      </c>
      <c r="AC34" s="135"/>
      <c r="AD34" s="136"/>
      <c r="AE34" s="132" t="s">
        <v>40</v>
      </c>
      <c r="AF34" s="137">
        <f>38*IF($W$4=1,1,IF($W$4=2,1/2.54))</f>
        <v>38</v>
      </c>
      <c r="AG34" s="132" t="s">
        <v>41</v>
      </c>
      <c r="AH34" s="137">
        <f>12*IF($W$4=1,1,IF($W$4=2,1/2.54))</f>
        <v>12</v>
      </c>
      <c r="AI34" s="132" t="s">
        <v>42</v>
      </c>
      <c r="AJ34" s="263">
        <f>102*IF($W$4=1,1,IF($W$4=2,1/2.54))</f>
        <v>102</v>
      </c>
      <c r="AK34" s="138"/>
      <c r="AL34" s="132" t="s">
        <v>40</v>
      </c>
      <c r="AM34" s="137">
        <f>38*IF($W$4=1,1,IF($W$4=2,1/2.54))</f>
        <v>38</v>
      </c>
      <c r="AN34" s="132" t="s">
        <v>41</v>
      </c>
      <c r="AO34" s="137">
        <f>12*IF($W$4=1,1,IF($W$4=2,1/2.54))</f>
        <v>12</v>
      </c>
      <c r="AP34" s="132" t="s">
        <v>42</v>
      </c>
      <c r="AQ34" s="263">
        <f>102*IF($W$4=1,1,IF($W$4=2,1/2.54))</f>
        <v>102</v>
      </c>
      <c r="AR34" s="138"/>
      <c r="AS34" s="132" t="s">
        <v>40</v>
      </c>
      <c r="AT34" s="137">
        <f>41*IF($W$4=1,1,IF($W$4=2,1/2.54))</f>
        <v>41</v>
      </c>
      <c r="AU34" s="132" t="s">
        <v>41</v>
      </c>
      <c r="AV34" s="137">
        <f>14*IF($W$4=1,1,IF($W$4=2,1/2.54))</f>
        <v>14</v>
      </c>
      <c r="AW34" s="132" t="s">
        <v>42</v>
      </c>
      <c r="AX34" s="263">
        <f>125*IF($W$4=1,1,IF($W$4=2,1/2.54))</f>
        <v>125</v>
      </c>
      <c r="AY34" s="138"/>
      <c r="AZ34" s="132" t="s">
        <v>40</v>
      </c>
      <c r="BA34" s="137">
        <f>41*IF($W$4=1,1,IF($W$4=2,1/2.54))</f>
        <v>41</v>
      </c>
      <c r="BB34" s="132" t="s">
        <v>41</v>
      </c>
      <c r="BC34" s="137">
        <f>14*IF($W$4=1,1,IF($W$4=2,1/2.54))</f>
        <v>14</v>
      </c>
      <c r="BD34" s="132" t="s">
        <v>42</v>
      </c>
      <c r="BE34" s="263">
        <f>125*IF($W$4=1,1,IF($W$4=2,1/2.54))</f>
        <v>125</v>
      </c>
      <c r="BF34" s="138"/>
      <c r="BG34" s="132" t="s">
        <v>40</v>
      </c>
      <c r="BH34" s="137">
        <f>52*IF($W$4=1,1,IF($W$4=2,1/2.54))</f>
        <v>52</v>
      </c>
      <c r="BI34" s="132" t="s">
        <v>41</v>
      </c>
      <c r="BJ34" s="137">
        <f>12*IF($W$4=1,1,IF($W$4=2,1/2.54))</f>
        <v>12</v>
      </c>
      <c r="BK34" s="132" t="s">
        <v>42</v>
      </c>
      <c r="BL34" s="263">
        <f>102*IF($W$4=1,1,IF($W$4=2,1/2.54))</f>
        <v>102</v>
      </c>
      <c r="BM34" s="138"/>
      <c r="BN34" s="132" t="s">
        <v>40</v>
      </c>
      <c r="BO34" s="137">
        <f>52*IF($W$4=1,1,IF($W$4=2,1/2.54))</f>
        <v>52</v>
      </c>
      <c r="BP34" s="132" t="s">
        <v>41</v>
      </c>
      <c r="BQ34" s="137">
        <f>12*IF($W$4=1,1,IF($W$4=2,1/2.54))</f>
        <v>12</v>
      </c>
      <c r="BR34" s="132" t="s">
        <v>42</v>
      </c>
      <c r="BS34" s="263">
        <f>102*IF($W$4=1,1,IF($W$4=2,1/2.54))</f>
        <v>102</v>
      </c>
      <c r="BT34" s="137"/>
      <c r="BU34" s="132" t="s">
        <v>40</v>
      </c>
      <c r="BV34" s="137">
        <f>55*IF($W$4=1,1,IF($W$4=2,1/2.54))</f>
        <v>55</v>
      </c>
      <c r="BW34" s="132" t="s">
        <v>41</v>
      </c>
      <c r="BX34" s="137">
        <f>14*IF($W$4=1,1,IF($W$4=2,1/2.54))</f>
        <v>14</v>
      </c>
      <c r="BY34" s="132" t="s">
        <v>42</v>
      </c>
      <c r="BZ34" s="263">
        <f>125*IF($W$4=1,1,IF($W$4=2,1/2.54))</f>
        <v>125</v>
      </c>
      <c r="CA34" s="138"/>
      <c r="CB34" s="132" t="s">
        <v>40</v>
      </c>
      <c r="CC34" s="139">
        <f>55*IF($W$4=1,1,IF($W$4=2,1/2.54))</f>
        <v>55</v>
      </c>
      <c r="CD34" s="132" t="s">
        <v>41</v>
      </c>
      <c r="CE34" s="139">
        <f>14*IF($W$4=1,1,IF($W$4=2,1/2.54))</f>
        <v>14</v>
      </c>
      <c r="CF34" s="132" t="s">
        <v>42</v>
      </c>
      <c r="CG34" s="263">
        <f>125*IF($W$4=1,1,IF($W$4=2,1/2.54))</f>
        <v>125</v>
      </c>
      <c r="CH34" s="140"/>
    </row>
    <row r="35" spans="2:86" ht="15" x14ac:dyDescent="0.25">
      <c r="B35" s="70">
        <v>0.2</v>
      </c>
      <c r="C35" s="71">
        <v>2</v>
      </c>
      <c r="D35" s="72">
        <f>(($W$35*$C35^4+$W$36*$C35^3+$W$37*$C35^2+$W$38*$C35+$W$39)*((((Tv_heat-Tr_heat)/LN((Tv_heat-Tl_heat)/(Tr_heat-Tl_heat)))/((75-65)/LN((75-20)/(65-20))))^1))*$D$14*$AA$11</f>
        <v>2998.6992488417982</v>
      </c>
      <c r="E35" s="95">
        <f>ROUND(((D35/$D$14)/((Tv_heat-Tr_heat)*1.163))*$E$14,IF($W$4=1,0,IF($W$4=2,2)))</f>
        <v>258</v>
      </c>
      <c r="F35" s="74">
        <f>($X$36*(E35/$E$14)^$X$38)*$F$14</f>
        <v>3.3369145804052929</v>
      </c>
      <c r="G35" s="73">
        <f>(($Y$35*$C35^4+$Y$36*$C35^3+$Y$37*$C35^2+$Y$38*$C35+$Y$39)*((((Tv_cool-Tr_cool)/LN((Tv_cool-Tl_cool)/(Tr_cool-Tl_cool)))/((16-18)/LN((16-27)/(18-27))))^S35))*$G$14*$AA$11</f>
        <v>569.17585721061664</v>
      </c>
      <c r="H35" s="73">
        <f>((G35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35+0.001448)*(Tl_cool-((Tv_cool+Tr_cool)/2))+(0.016908*$C35-0.033574))*1.039&gt;1,1,1/(1+((2258*((0.622/((p_atm/(1*611*EXP(17.27*(((Tv_cool+Tr_cool)/2)/(((Tv_cool+Tr_cool)/2)+237.3))))))-1)*1000-(0.622/((p_atm/(RH*611*EXP(17.27*(Tl_cool/(Tl_cool+237.3))))))-1)*1000))/(1005*(((Tv_cool+Tr_cool)/2)-Tl_cool))))*1.039+((-0.000729*$C35+0.001448)*(Tl_cool-((Tv_cool+Tr_cool)/2))+(0.016908*$C35-0.033574))*1.039))))*$H$14</f>
        <v>694.11638921949236</v>
      </c>
      <c r="I35" s="95">
        <f>ROUND(((H35/$H$14)/((Tr_cool-Tv_cool)*1.163))*$I$14,IF($W$4=1,0,IF($W$4=2,2)))</f>
        <v>99</v>
      </c>
      <c r="J35" s="75">
        <f>($Z$36*(I35/$I$14)^$Z$38)*$J$14</f>
        <v>0.57859153756803883</v>
      </c>
      <c r="K35" s="93">
        <f t="shared" ref="K35:K39" si="66">L35-8</f>
        <v>25.700000000000003</v>
      </c>
      <c r="L35" s="90">
        <f t="shared" ref="L35:L39" si="67">AA35</f>
        <v>33.700000000000003</v>
      </c>
      <c r="M35" s="76">
        <f t="shared" ref="M35:M39" si="68">AB35</f>
        <v>2.8</v>
      </c>
      <c r="N35" s="100">
        <f t="shared" ref="N35:N39" si="69">AC35*$N$14</f>
        <v>173</v>
      </c>
      <c r="O35" s="76">
        <f>(Tl_heat+(($D35/$G$14)/(1006*$N35*$K$14)))*(0.05*$C35+0.7)*$M$14+$O$14</f>
        <v>57.214954796523749</v>
      </c>
      <c r="P35" s="161">
        <f>(Tl_cool-((G35/$G$14)/(1006*N35*$K$14)))*$M$14+$O$14</f>
        <v>15.221361297207142</v>
      </c>
      <c r="Q35" s="61"/>
      <c r="S35" s="104">
        <v>1</v>
      </c>
      <c r="W35" s="113">
        <f t="shared" ref="W35:W39" si="70">IF($W$16=1,AE35,IF($W$16=2,AL35,IF($W$16=3,AS35,IF($W$16=4,AZ35,IF($W$16=5,BG35,IF($W$16=6,BN35,IF($W$16=7,BU35,IF($W$16=8,CB35))))))))</f>
        <v>0</v>
      </c>
      <c r="X35" s="114" t="str">
        <f t="shared" ref="X35:X40" si="71">IF($W$16=1,AF35,IF($W$16=2,AM35,IF($W$16=3,AT35,IF($W$16=4,BA35,IF($W$16=5,BH35,IF($W$16=6,BO35,IF($W$16=7,BV35,IF($W$16=8,CC35))))))))</f>
        <v>a</v>
      </c>
      <c r="Y35" s="115">
        <f t="shared" ref="Y35:Y39" si="72">IF($W$16=1,AG35,IF($W$16=2,AN35,IF($W$16=3,AU35,IF($W$16=4,BB35,IF($W$16=5,BI35,IF($W$16=6,BP35,IF($W$16=7,BW35,IF($W$16=8,CD35))))))))</f>
        <v>0</v>
      </c>
      <c r="Z35" s="114" t="str">
        <f t="shared" ref="Z35:Z40" si="73">IF($W$16=1,AH35,IF($W$16=2,AO35,IF($W$16=3,AV35,IF($W$16=4,BC35,IF($W$16=5,BJ35,IF($W$16=6,BQ35,IF($W$16=7,BX35,IF($W$16=8,CE35))))))))</f>
        <v>a</v>
      </c>
      <c r="AA35" s="115">
        <f t="shared" ref="AA35:AA39" si="74">IF($W$16=1,AI35,IF($W$16=2,AP35,IF($W$16=3,AW35,IF($W$16=4,BD35,IF($W$16=5,BK35,IF($W$16=6,BR35,IF($W$16=7,BY35,IF($W$16=8,CF35))))))))</f>
        <v>33.700000000000003</v>
      </c>
      <c r="AB35" s="115">
        <f t="shared" ref="AB35:AB40" si="75">IF($W$16=1,AJ35,IF($W$16=2,AQ35,IF($W$16=3,AX35,IF($W$16=4,BE35,IF($W$16=5,BL35,IF($W$16=6,BS35,IF($W$16=7,BZ35,IF($W$16=8,CG35))))))))</f>
        <v>2.8</v>
      </c>
      <c r="AC35" s="115">
        <f t="shared" ref="AC35:AC39" si="76">IF($W$16=1,AK35,IF($W$16=2,AR35,IF($W$16=3,AY35,IF($W$16=4,BF35,IF($W$16=5,BM35,IF($W$16=6,BT35,IF($W$16=7,CA35,IF($W$16=8,CH35))))))))</f>
        <v>173</v>
      </c>
      <c r="AD35" s="121" t="s">
        <v>59</v>
      </c>
      <c r="AE35" s="119">
        <v>-2.9559560175300859</v>
      </c>
      <c r="AF35" s="115" t="s">
        <v>28</v>
      </c>
      <c r="AG35" s="120"/>
      <c r="AH35" s="115" t="s">
        <v>28</v>
      </c>
      <c r="AI35" s="122">
        <v>34</v>
      </c>
      <c r="AJ35" s="117">
        <v>2.8</v>
      </c>
      <c r="AK35" s="118">
        <v>190</v>
      </c>
      <c r="AL35" s="113"/>
      <c r="AM35" s="115" t="s">
        <v>28</v>
      </c>
      <c r="AN35" s="115"/>
      <c r="AO35" s="115" t="s">
        <v>28</v>
      </c>
      <c r="AP35" s="117">
        <f t="shared" ref="AP35:AP39" si="77">AI35</f>
        <v>34</v>
      </c>
      <c r="AQ35" s="117">
        <v>2.5</v>
      </c>
      <c r="AR35" s="118">
        <v>98</v>
      </c>
      <c r="AS35" s="113"/>
      <c r="AT35" s="115" t="s">
        <v>28</v>
      </c>
      <c r="AU35" s="115"/>
      <c r="AV35" s="115" t="s">
        <v>28</v>
      </c>
      <c r="AW35" s="117">
        <v>33.700000000000003</v>
      </c>
      <c r="AX35" s="117">
        <f t="shared" ref="AX35:AX39" si="78">AJ35</f>
        <v>2.8</v>
      </c>
      <c r="AY35" s="118">
        <v>173</v>
      </c>
      <c r="AZ35" s="113"/>
      <c r="BA35" s="115" t="s">
        <v>28</v>
      </c>
      <c r="BB35" s="115"/>
      <c r="BC35" s="115" t="s">
        <v>28</v>
      </c>
      <c r="BD35" s="117">
        <f t="shared" ref="BD35:BD39" si="79">AW35</f>
        <v>33.700000000000003</v>
      </c>
      <c r="BE35" s="117">
        <f t="shared" ref="BE35:BE39" si="80">AQ35</f>
        <v>2.5</v>
      </c>
      <c r="BF35" s="118">
        <v>89</v>
      </c>
      <c r="BG35" s="113"/>
      <c r="BH35" s="115" t="s">
        <v>28</v>
      </c>
      <c r="BI35" s="115">
        <v>0.11449437682638812</v>
      </c>
      <c r="BJ35" s="115" t="s">
        <v>28</v>
      </c>
      <c r="BK35" s="117">
        <v>34.200000000000003</v>
      </c>
      <c r="BL35" s="117">
        <v>2.8</v>
      </c>
      <c r="BM35" s="118">
        <v>200</v>
      </c>
      <c r="BN35" s="113">
        <v>-0.22409954663224091</v>
      </c>
      <c r="BO35" s="115" t="s">
        <v>28</v>
      </c>
      <c r="BP35" s="115"/>
      <c r="BQ35" s="115" t="s">
        <v>28</v>
      </c>
      <c r="BR35" s="117">
        <f t="shared" ref="BR35:BR39" si="81">BK35</f>
        <v>34.200000000000003</v>
      </c>
      <c r="BS35" s="117">
        <v>2.7</v>
      </c>
      <c r="BT35" s="118">
        <v>139</v>
      </c>
      <c r="BU35" s="113"/>
      <c r="BV35" s="115" t="s">
        <v>28</v>
      </c>
      <c r="BW35" s="115"/>
      <c r="BX35" s="115" t="s">
        <v>28</v>
      </c>
      <c r="BY35" s="115">
        <v>33</v>
      </c>
      <c r="BZ35" s="117">
        <f t="shared" ref="BZ35:BZ39" si="82">BL35</f>
        <v>2.8</v>
      </c>
      <c r="CA35" s="118">
        <v>182</v>
      </c>
      <c r="CB35" s="120"/>
      <c r="CC35" s="120" t="s">
        <v>28</v>
      </c>
      <c r="CD35" s="120"/>
      <c r="CE35" s="120" t="s">
        <v>28</v>
      </c>
      <c r="CF35" s="120">
        <f t="shared" ref="CF35:CF39" si="83">BY35</f>
        <v>33</v>
      </c>
      <c r="CG35" s="122">
        <f t="shared" ref="CG35:CG39" si="84">BS35</f>
        <v>2.7</v>
      </c>
      <c r="CH35" s="123">
        <v>126</v>
      </c>
    </row>
    <row r="36" spans="2:86" ht="15" x14ac:dyDescent="0.25">
      <c r="B36" s="70">
        <v>0.4</v>
      </c>
      <c r="C36" s="71">
        <v>4</v>
      </c>
      <c r="D36" s="72">
        <f>(($W$35*$C36^4+$W$36*$C36^3+$W$37*$C36^2+$W$38*$C36+$W$39)*((((Tv_heat-Tr_heat)/LN((Tv_heat-Tl_heat)/(Tr_heat-Tl_heat)))/((75-65)/LN((75-20)/(65-20))))^1))*$D$14*$AA$11</f>
        <v>3401.114332986619</v>
      </c>
      <c r="E36" s="95">
        <f>ROUND(((D36/$D$14)/((Tv_heat-Tr_heat)*1.163))*$E$14,IF($W$4=1,0,IF($W$4=2,2)))</f>
        <v>292</v>
      </c>
      <c r="F36" s="74">
        <f t="shared" ref="F36:F39" si="85">($X$36*(E36/$E$14)^$X$38)*$F$14</f>
        <v>4.1850016448490504</v>
      </c>
      <c r="G36" s="73">
        <f>(($Y$35*$C36^4+$Y$36*$C36^3+$Y$37*$C36^2+$Y$38*$C36+$Y$39)*((((Tv_cool-Tr_cool)/LN((Tv_cool-Tl_cool)/(Tr_cool-Tl_cool)))/((16-18)/LN((16-27)/(18-27))))^S36))*$G$14*$AA$11</f>
        <v>622.75078313746189</v>
      </c>
      <c r="H36" s="73">
        <f>((G36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36+0.001448)*(Tl_cool-((Tv_cool+Tr_cool)/2))+(0.016908*$C36-0.033574))*1.039&gt;1,1,1/(1+((2258*((0.622/((p_atm/(1*611*EXP(17.27*(((Tv_cool+Tr_cool)/2)/(((Tv_cool+Tr_cool)/2)+237.3))))))-1)*1000-(0.622/((p_atm/(RH*611*EXP(17.27*(Tl_cool/(Tl_cool+237.3))))))-1)*1000))/(1005*(((Tv_cool+Tr_cool)/2)-Tl_cool))))*1.039+((-0.000729*$C36+0.001448)*(Tl_cool-((Tv_cool+Tr_cool)/2))+(0.016908*$C36-0.033574))*1.039))))*$H$14</f>
        <v>746.76862073913173</v>
      </c>
      <c r="I36" s="95">
        <f>ROUND(((H36/$H$14)/((Tr_cool-Tv_cool)*1.163))*$I$14,IF($W$4=1,0,IF($W$4=2,2)))</f>
        <v>107</v>
      </c>
      <c r="J36" s="75">
        <f t="shared" ref="J36:J39" si="86">($Z$36*(I36/$I$14)^$Z$38)*$J$14</f>
        <v>0.66697472747650266</v>
      </c>
      <c r="K36" s="93">
        <f t="shared" si="66"/>
        <v>30.5</v>
      </c>
      <c r="L36" s="90">
        <f t="shared" si="67"/>
        <v>38.5</v>
      </c>
      <c r="M36" s="76">
        <f t="shared" si="68"/>
        <v>5.5</v>
      </c>
      <c r="N36" s="100">
        <f t="shared" si="69"/>
        <v>268</v>
      </c>
      <c r="O36" s="76">
        <f>(Tl_heat+(($D36/$G$14)/(1006*$N36*$K$14)))*(0.05*$C36+0.7)*$M$14+$O$14</f>
        <v>51.947436146240086</v>
      </c>
      <c r="P36" s="161">
        <f>(Tl_cool-((G36/$G$14)/(1006*N36*$K$14)))*$M$14+$O$14</f>
        <v>18.093507867066993</v>
      </c>
      <c r="Q36" s="61"/>
      <c r="S36" s="104">
        <v>1</v>
      </c>
      <c r="W36" s="119">
        <f t="shared" si="70"/>
        <v>1.5118660666407935</v>
      </c>
      <c r="X36" s="120">
        <f t="shared" si="71"/>
        <v>1.2932915211001514E-4</v>
      </c>
      <c r="Y36" s="120">
        <f t="shared" si="72"/>
        <v>0.18632215403912855</v>
      </c>
      <c r="Z36" s="120">
        <f t="shared" si="73"/>
        <v>1.2932915211001514E-4</v>
      </c>
      <c r="AA36" s="120">
        <f t="shared" si="74"/>
        <v>38.5</v>
      </c>
      <c r="AB36" s="120">
        <f t="shared" si="75"/>
        <v>5.5</v>
      </c>
      <c r="AC36" s="120">
        <f t="shared" si="76"/>
        <v>268</v>
      </c>
      <c r="AD36" s="121" t="s">
        <v>60</v>
      </c>
      <c r="AE36" s="119">
        <v>78.374973868118246</v>
      </c>
      <c r="AF36" s="120">
        <v>1.2932915211001514E-4</v>
      </c>
      <c r="AG36" s="120">
        <v>-0.9895255552584159</v>
      </c>
      <c r="AH36" s="120">
        <f>AF36</f>
        <v>1.2932915211001514E-4</v>
      </c>
      <c r="AI36" s="122">
        <v>39.4</v>
      </c>
      <c r="AJ36" s="122">
        <v>5.5</v>
      </c>
      <c r="AK36" s="123">
        <v>295</v>
      </c>
      <c r="AL36" s="119">
        <v>1.9075086026874459</v>
      </c>
      <c r="AM36" s="120">
        <f>AF36</f>
        <v>1.2932915211001514E-4</v>
      </c>
      <c r="AN36" s="120">
        <v>0.17598150923924533</v>
      </c>
      <c r="AO36" s="120">
        <f>AH36</f>
        <v>1.2932915211001514E-4</v>
      </c>
      <c r="AP36" s="122">
        <f t="shared" si="77"/>
        <v>39.4</v>
      </c>
      <c r="AQ36" s="122">
        <v>4.5</v>
      </c>
      <c r="AR36" s="123">
        <v>174</v>
      </c>
      <c r="AS36" s="119">
        <v>1.5118660666407935</v>
      </c>
      <c r="AT36" s="120">
        <f>AF36</f>
        <v>1.2932915211001514E-4</v>
      </c>
      <c r="AU36" s="120">
        <v>0.18632215403912855</v>
      </c>
      <c r="AV36" s="120">
        <f>AO36</f>
        <v>1.2932915211001514E-4</v>
      </c>
      <c r="AW36" s="122">
        <v>38.5</v>
      </c>
      <c r="AX36" s="122">
        <f t="shared" si="78"/>
        <v>5.5</v>
      </c>
      <c r="AY36" s="123">
        <v>268</v>
      </c>
      <c r="AZ36" s="119">
        <v>1.4267610870824441</v>
      </c>
      <c r="BA36" s="120">
        <f>AF36</f>
        <v>1.2932915211001514E-4</v>
      </c>
      <c r="BB36" s="120">
        <v>0.21151846586988798</v>
      </c>
      <c r="BC36" s="120">
        <f>AH36</f>
        <v>1.2932915211001514E-4</v>
      </c>
      <c r="BD36" s="122">
        <f t="shared" si="79"/>
        <v>38.5</v>
      </c>
      <c r="BE36" s="122">
        <f t="shared" si="80"/>
        <v>4.5</v>
      </c>
      <c r="BF36" s="123">
        <v>158</v>
      </c>
      <c r="BG36" s="119">
        <v>-1.0193952578456988</v>
      </c>
      <c r="BH36" s="120">
        <v>2.7169905751214276E-4</v>
      </c>
      <c r="BI36" s="120">
        <v>-3.0580202694692744</v>
      </c>
      <c r="BJ36" s="120">
        <f>BH36</f>
        <v>2.7169905751214276E-4</v>
      </c>
      <c r="BK36" s="122">
        <v>40</v>
      </c>
      <c r="BL36" s="122">
        <v>5.5</v>
      </c>
      <c r="BM36" s="123">
        <v>297</v>
      </c>
      <c r="BN36" s="119">
        <v>7.3273707754435264</v>
      </c>
      <c r="BO36" s="120">
        <f>AF36</f>
        <v>1.2932915211001514E-4</v>
      </c>
      <c r="BP36" s="120">
        <v>-0.22641939636044967</v>
      </c>
      <c r="BQ36" s="120">
        <f>BJ36</f>
        <v>2.7169905751214276E-4</v>
      </c>
      <c r="BR36" s="122">
        <f t="shared" si="81"/>
        <v>40</v>
      </c>
      <c r="BS36" s="122">
        <v>5.2</v>
      </c>
      <c r="BT36" s="123">
        <v>251</v>
      </c>
      <c r="BU36" s="119">
        <v>-1.7032731680051472</v>
      </c>
      <c r="BV36" s="120">
        <f>BH36</f>
        <v>2.7169905751214276E-4</v>
      </c>
      <c r="BW36" s="120">
        <v>-0.31193329602618908</v>
      </c>
      <c r="BX36" s="120">
        <f>BJ36</f>
        <v>2.7169905751214276E-4</v>
      </c>
      <c r="BY36" s="120">
        <v>38.799999999999997</v>
      </c>
      <c r="BZ36" s="122">
        <f t="shared" si="82"/>
        <v>5.5</v>
      </c>
      <c r="CA36" s="123">
        <v>270</v>
      </c>
      <c r="CB36" s="120">
        <v>1.1344894569539592</v>
      </c>
      <c r="CC36" s="120">
        <f>BO36</f>
        <v>1.2932915211001514E-4</v>
      </c>
      <c r="CD36" s="120">
        <v>-0.33780933907453081</v>
      </c>
      <c r="CE36" s="120">
        <f>BQ36</f>
        <v>2.7169905751214276E-4</v>
      </c>
      <c r="CF36" s="120">
        <f t="shared" si="83"/>
        <v>38.799999999999997</v>
      </c>
      <c r="CG36" s="122">
        <f t="shared" si="84"/>
        <v>5.2</v>
      </c>
      <c r="CH36" s="123">
        <v>228</v>
      </c>
    </row>
    <row r="37" spans="2:86" ht="15" x14ac:dyDescent="0.25">
      <c r="B37" s="70">
        <v>0.6</v>
      </c>
      <c r="C37" s="71">
        <v>6</v>
      </c>
      <c r="D37" s="72">
        <f>(($W$35*$C37^4+$W$36*$C37^3+$W$37*$C37^2+$W$38*$C37+$W$39)*((((Tv_heat-Tr_heat)/LN((Tv_heat-Tl_heat)/(Tr_heat-Tl_heat)))/((75-65)/LN((75-20)/(65-20))))^1))*$D$14*$AA$11</f>
        <v>3894.3790326170101</v>
      </c>
      <c r="E37" s="95">
        <f>ROUND(((D37/$D$14)/((Tv_heat-Tr_heat)*1.163))*$E$14,IF($W$4=1,0,IF($W$4=2,2)))</f>
        <v>335</v>
      </c>
      <c r="F37" s="74">
        <f t="shared" si="85"/>
        <v>5.3806785537164394</v>
      </c>
      <c r="G37" s="73">
        <f>(($Y$35*$C37^4+$Y$36*$C37^3+$Y$37*$C37^2+$Y$38*$C37+$Y$39)*((((Tv_cool-Tr_cool)/LN((Tv_cool-Tl_cool)/(Tr_cool-Tl_cool)))/((16-18)/LN((16-27)/(18-27))))^S37))*$G$14*$AA$11</f>
        <v>698.27525518363848</v>
      </c>
      <c r="H37" s="73">
        <f>((G37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37+0.001448)*(Tl_cool-((Tv_cool+Tr_cool)/2))+(0.016908*$C37-0.033574))*1.039&gt;1,1,1/(1+((2258*((0.622/((p_atm/(1*611*EXP(17.27*(((Tv_cool+Tr_cool)/2)/(((Tv_cool+Tr_cool)/2)+237.3))))))-1)*1000-(0.622/((p_atm/(RH*611*EXP(17.27*(Tl_cool/(Tl_cool+237.3))))))-1)*1000))/(1005*(((Tv_cool+Tr_cool)/2)-Tl_cool))))*1.039+((-0.000729*$C37+0.001448)*(Tl_cool-((Tv_cool+Tr_cool)/2))+(0.016908*$C37-0.033574))*1.039))))*$H$14</f>
        <v>823.57948546223054</v>
      </c>
      <c r="I37" s="95">
        <f>ROUND(((H37/$H$14)/((Tr_cool-Tv_cool)*1.163))*$I$14,IF($W$4=1,0,IF($W$4=2,2)))</f>
        <v>118</v>
      </c>
      <c r="J37" s="75">
        <f t="shared" si="86"/>
        <v>0.79772402412621146</v>
      </c>
      <c r="K37" s="93">
        <f t="shared" si="66"/>
        <v>37.299999999999997</v>
      </c>
      <c r="L37" s="90">
        <f t="shared" si="67"/>
        <v>45.3</v>
      </c>
      <c r="M37" s="76">
        <f t="shared" si="68"/>
        <v>10.3</v>
      </c>
      <c r="N37" s="100">
        <f t="shared" si="69"/>
        <v>373</v>
      </c>
      <c r="O37" s="76">
        <f>(Tl_heat+(($D37/$G$14)/(1006*$N37*$K$14)))*(0.05*$C37+0.7)*$M$14+$O$14</f>
        <v>51.031832300801319</v>
      </c>
      <c r="P37" s="161">
        <f>(Tl_cool-((G37/$G$14)/(1006*N37*$K$14)))*$M$14+$O$14</f>
        <v>19.435888125636147</v>
      </c>
      <c r="Q37" s="61"/>
      <c r="S37" s="104">
        <v>1</v>
      </c>
      <c r="W37" s="119">
        <f t="shared" si="70"/>
        <v>-6.7861908639932995</v>
      </c>
      <c r="X37" s="114" t="str">
        <f t="shared" si="71"/>
        <v>b</v>
      </c>
      <c r="Y37" s="120">
        <f t="shared" si="72"/>
        <v>-0.25188697625825573</v>
      </c>
      <c r="Z37" s="114" t="str">
        <f t="shared" si="73"/>
        <v>b</v>
      </c>
      <c r="AA37" s="120">
        <f t="shared" si="74"/>
        <v>45.3</v>
      </c>
      <c r="AB37" s="120">
        <f t="shared" si="75"/>
        <v>10.3</v>
      </c>
      <c r="AC37" s="120">
        <f t="shared" si="76"/>
        <v>373</v>
      </c>
      <c r="AD37" s="121" t="s">
        <v>61</v>
      </c>
      <c r="AE37" s="119">
        <v>-704.30949987706765</v>
      </c>
      <c r="AF37" s="120" t="s">
        <v>29</v>
      </c>
      <c r="AG37" s="120">
        <v>21.042264468578555</v>
      </c>
      <c r="AH37" s="120" t="s">
        <v>29</v>
      </c>
      <c r="AI37" s="122">
        <v>46.4</v>
      </c>
      <c r="AJ37" s="122">
        <v>10.3</v>
      </c>
      <c r="AK37" s="123">
        <v>410</v>
      </c>
      <c r="AL37" s="119">
        <v>-17.746729246414905</v>
      </c>
      <c r="AM37" s="120" t="s">
        <v>29</v>
      </c>
      <c r="AN37" s="120">
        <v>-1.0420209522650592</v>
      </c>
      <c r="AO37" s="120" t="s">
        <v>29</v>
      </c>
      <c r="AP37" s="122">
        <f t="shared" si="77"/>
        <v>46.4</v>
      </c>
      <c r="AQ37" s="122">
        <v>9</v>
      </c>
      <c r="AR37" s="123">
        <v>249</v>
      </c>
      <c r="AS37" s="119">
        <v>-6.7861908639932995</v>
      </c>
      <c r="AT37" s="120" t="s">
        <v>29</v>
      </c>
      <c r="AU37" s="120">
        <v>-0.25188697625825573</v>
      </c>
      <c r="AV37" s="120" t="s">
        <v>29</v>
      </c>
      <c r="AW37" s="122">
        <v>45.3</v>
      </c>
      <c r="AX37" s="122">
        <f t="shared" si="78"/>
        <v>10.3</v>
      </c>
      <c r="AY37" s="123">
        <v>373</v>
      </c>
      <c r="AZ37" s="119">
        <v>-10.163656045029517</v>
      </c>
      <c r="BA37" s="120" t="s">
        <v>29</v>
      </c>
      <c r="BB37" s="120">
        <v>-2.3124323057321829</v>
      </c>
      <c r="BC37" s="120" t="s">
        <v>29</v>
      </c>
      <c r="BD37" s="122">
        <f t="shared" si="79"/>
        <v>45.3</v>
      </c>
      <c r="BE37" s="122">
        <f t="shared" si="80"/>
        <v>9</v>
      </c>
      <c r="BF37" s="123">
        <v>227</v>
      </c>
      <c r="BG37" s="119">
        <v>10.781174684358943</v>
      </c>
      <c r="BH37" s="120" t="s">
        <v>29</v>
      </c>
      <c r="BI37" s="120">
        <v>28.361806599292617</v>
      </c>
      <c r="BJ37" s="120" t="s">
        <v>29</v>
      </c>
      <c r="BK37" s="122">
        <v>47</v>
      </c>
      <c r="BL37" s="122">
        <v>10</v>
      </c>
      <c r="BM37" s="123">
        <v>396</v>
      </c>
      <c r="BN37" s="119">
        <v>-68.303133746164534</v>
      </c>
      <c r="BO37" s="120" t="s">
        <v>29</v>
      </c>
      <c r="BP37" s="120">
        <v>3.8853075980776386</v>
      </c>
      <c r="BQ37" s="120" t="s">
        <v>29</v>
      </c>
      <c r="BR37" s="122">
        <f t="shared" si="81"/>
        <v>47</v>
      </c>
      <c r="BS37" s="122">
        <v>9.1</v>
      </c>
      <c r="BT37" s="123">
        <v>334</v>
      </c>
      <c r="BU37" s="119">
        <v>26.268050048769958</v>
      </c>
      <c r="BV37" s="120" t="s">
        <v>29</v>
      </c>
      <c r="BW37" s="120">
        <v>5.5712720658712023</v>
      </c>
      <c r="BX37" s="120" t="s">
        <v>29</v>
      </c>
      <c r="BY37" s="120">
        <v>45.5</v>
      </c>
      <c r="BZ37" s="122">
        <f t="shared" si="82"/>
        <v>10</v>
      </c>
      <c r="CA37" s="123">
        <v>360</v>
      </c>
      <c r="CB37" s="120">
        <v>-6.6531513749360087</v>
      </c>
      <c r="CC37" s="120" t="s">
        <v>29</v>
      </c>
      <c r="CD37" s="120">
        <v>6.5041472755333203</v>
      </c>
      <c r="CE37" s="120" t="s">
        <v>29</v>
      </c>
      <c r="CF37" s="120">
        <f t="shared" si="83"/>
        <v>45.5</v>
      </c>
      <c r="CG37" s="122">
        <f t="shared" si="84"/>
        <v>9.1</v>
      </c>
      <c r="CH37" s="123">
        <v>304</v>
      </c>
    </row>
    <row r="38" spans="2:86" ht="15" x14ac:dyDescent="0.25">
      <c r="B38" s="70">
        <v>0.8</v>
      </c>
      <c r="C38" s="71">
        <v>8</v>
      </c>
      <c r="D38" s="72">
        <f>(($W$35*$C38^4+$W$36*$C38^3+$W$37*$C38^2+$W$38*$C38+$W$39)*((((Tv_heat-Tr_heat)/LN((Tv_heat-Tl_heat)/(Tr_heat-Tl_heat)))/((75-65)/LN((75-20)/(65-20))))^1))*$D$14*$AA$11</f>
        <v>4551.0629189317287</v>
      </c>
      <c r="E38" s="95">
        <f>ROUND(((D38/$D$14)/((Tv_heat-Tr_heat)*1.163))*$E$14,IF($W$4=1,0,IF($W$4=2,2)))</f>
        <v>391</v>
      </c>
      <c r="F38" s="74">
        <f t="shared" si="85"/>
        <v>7.1391013771608307</v>
      </c>
      <c r="G38" s="73">
        <f>(($Y$35*$C38^4+$Y$36*$C38^3+$Y$37*$C38^2+$Y$38*$C38+$Y$39)*((((Tv_cool-Tr_cool)/LN((Tv_cool-Tl_cool)/(Tr_cool-Tl_cool)))/((16-18)/LN((16-27)/(18-27))))^S38))*$G$14*$AA$11</f>
        <v>808.11740923128957</v>
      </c>
      <c r="H38" s="73">
        <f>((G38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38+0.001448)*(Tl_cool-((Tv_cool+Tr_cool)/2))+(0.016908*$C38-0.033574))*1.039&gt;1,1,1/(1+((2258*((0.622/((p_atm/(1*611*EXP(17.27*(((Tv_cool+Tr_cool)/2)/(((Tv_cool+Tr_cool)/2)+237.3))))))-1)*1000-(0.622/((p_atm/(RH*611*EXP(17.27*(Tl_cool/(Tl_cool+237.3))))))-1)*1000))/(1005*(((Tv_cool+Tr_cool)/2)-Tl_cool))))*1.039+((-0.000729*$C38+0.001448)*(Tl_cool-((Tv_cool+Tr_cool)/2))+(0.016908*$C38-0.033574))*1.039))))*$H$14</f>
        <v>937.72957500337418</v>
      </c>
      <c r="I38" s="95">
        <f>ROUND(((H38/$H$14)/((Tr_cool-Tv_cool)*1.163))*$I$14,IF($W$4=1,0,IF($W$4=2,2)))</f>
        <v>134</v>
      </c>
      <c r="J38" s="75">
        <f t="shared" si="86"/>
        <v>1.0066381571087277</v>
      </c>
      <c r="K38" s="93">
        <f t="shared" si="66"/>
        <v>43</v>
      </c>
      <c r="L38" s="90">
        <f t="shared" si="67"/>
        <v>51</v>
      </c>
      <c r="M38" s="76">
        <f t="shared" si="68"/>
        <v>18.5</v>
      </c>
      <c r="N38" s="100">
        <f t="shared" si="69"/>
        <v>466</v>
      </c>
      <c r="O38" s="76">
        <f>(Tl_heat+(($D38/$G$14)/(1006*$N38*$K$14)))*(0.05*$C38+0.7)*$M$14+$O$14</f>
        <v>53.929906096213401</v>
      </c>
      <c r="P38" s="161">
        <f>(Tl_cool-((G38/$G$14)/(1006*N38*$K$14)))*$M$14+$O$14</f>
        <v>19.84573694878792</v>
      </c>
      <c r="Q38" s="61"/>
      <c r="S38" s="104">
        <v>1</v>
      </c>
      <c r="W38" s="119">
        <f t="shared" si="70"/>
        <v>199.5924373904281</v>
      </c>
      <c r="X38" s="120">
        <f t="shared" si="71"/>
        <v>1.829330158620641</v>
      </c>
      <c r="Y38" s="120">
        <f t="shared" si="72"/>
        <v>15.664455358346679</v>
      </c>
      <c r="Z38" s="120">
        <f t="shared" si="73"/>
        <v>1.829330158620641</v>
      </c>
      <c r="AA38" s="120">
        <f t="shared" si="74"/>
        <v>51</v>
      </c>
      <c r="AB38" s="120">
        <f t="shared" si="75"/>
        <v>18.5</v>
      </c>
      <c r="AC38" s="120">
        <f t="shared" si="76"/>
        <v>466</v>
      </c>
      <c r="AD38" s="121" t="s">
        <v>62</v>
      </c>
      <c r="AE38" s="119">
        <v>2760.9404091706319</v>
      </c>
      <c r="AF38" s="120">
        <v>1.829330158620641</v>
      </c>
      <c r="AG38" s="120">
        <v>-83.406316587778107</v>
      </c>
      <c r="AH38" s="120">
        <f>AF38</f>
        <v>1.829330158620641</v>
      </c>
      <c r="AI38" s="122">
        <v>52.2</v>
      </c>
      <c r="AJ38" s="122">
        <v>18.5</v>
      </c>
      <c r="AK38" s="123">
        <v>512</v>
      </c>
      <c r="AL38" s="119">
        <v>249.05799215514961</v>
      </c>
      <c r="AM38" s="120">
        <f>AF38</f>
        <v>1.829330158620641</v>
      </c>
      <c r="AN38" s="120">
        <v>25.701668848064646</v>
      </c>
      <c r="AO38" s="120">
        <f>AH38</f>
        <v>1.829330158620641</v>
      </c>
      <c r="AP38" s="122">
        <f t="shared" si="77"/>
        <v>52.2</v>
      </c>
      <c r="AQ38" s="122">
        <v>17</v>
      </c>
      <c r="AR38" s="123">
        <v>318</v>
      </c>
      <c r="AS38" s="119">
        <v>199.5924373904281</v>
      </c>
      <c r="AT38" s="120">
        <f>AF38</f>
        <v>1.829330158620641</v>
      </c>
      <c r="AU38" s="120">
        <v>15.664455358346679</v>
      </c>
      <c r="AV38" s="120">
        <f>AO38</f>
        <v>1.829330158620641</v>
      </c>
      <c r="AW38" s="122">
        <v>51</v>
      </c>
      <c r="AX38" s="122">
        <f t="shared" si="78"/>
        <v>18.5</v>
      </c>
      <c r="AY38" s="123">
        <v>466</v>
      </c>
      <c r="AZ38" s="119">
        <v>191.91978998142477</v>
      </c>
      <c r="BA38" s="120">
        <f>AF38</f>
        <v>1.829330158620641</v>
      </c>
      <c r="BB38" s="120">
        <v>34.907583473887243</v>
      </c>
      <c r="BC38" s="120">
        <f>AH38</f>
        <v>1.829330158620641</v>
      </c>
      <c r="BD38" s="122">
        <f t="shared" si="79"/>
        <v>51</v>
      </c>
      <c r="BE38" s="122">
        <f t="shared" si="80"/>
        <v>17</v>
      </c>
      <c r="BF38" s="123">
        <v>289</v>
      </c>
      <c r="BG38" s="119">
        <v>534.88419784399764</v>
      </c>
      <c r="BH38" s="120">
        <v>1.8154391549649329</v>
      </c>
      <c r="BI38" s="120">
        <v>-38.707319274037957</v>
      </c>
      <c r="BJ38" s="120">
        <f>BH38</f>
        <v>1.8154391549649329</v>
      </c>
      <c r="BK38" s="122">
        <v>52.5</v>
      </c>
      <c r="BL38" s="122">
        <v>18</v>
      </c>
      <c r="BM38" s="123">
        <v>500</v>
      </c>
      <c r="BN38" s="119">
        <v>411.59653619513693</v>
      </c>
      <c r="BO38" s="120">
        <f>AF38</f>
        <v>1.829330158620641</v>
      </c>
      <c r="BP38" s="120">
        <v>30.989596772643303</v>
      </c>
      <c r="BQ38" s="120">
        <f>BJ38</f>
        <v>1.8154391549649329</v>
      </c>
      <c r="BR38" s="122">
        <f t="shared" si="81"/>
        <v>52.5</v>
      </c>
      <c r="BS38" s="122">
        <v>16</v>
      </c>
      <c r="BT38" s="123">
        <v>432</v>
      </c>
      <c r="BU38" s="119">
        <v>398.10102592026755</v>
      </c>
      <c r="BV38" s="120">
        <f>BH38</f>
        <v>1.8154391549649329</v>
      </c>
      <c r="BW38" s="120">
        <v>34.97111415527813</v>
      </c>
      <c r="BX38" s="120">
        <f>BJ38</f>
        <v>1.8154391549649329</v>
      </c>
      <c r="BY38" s="120">
        <v>50.8</v>
      </c>
      <c r="BZ38" s="122">
        <f t="shared" si="82"/>
        <v>18</v>
      </c>
      <c r="CA38" s="123">
        <v>455</v>
      </c>
      <c r="CB38" s="120">
        <v>140.53405061422265</v>
      </c>
      <c r="CC38" s="120">
        <f>BO38</f>
        <v>1.829330158620641</v>
      </c>
      <c r="CD38" s="120">
        <v>9.2616573879342088</v>
      </c>
      <c r="CE38" s="120">
        <f>BQ38</f>
        <v>1.8154391549649329</v>
      </c>
      <c r="CF38" s="120">
        <f t="shared" si="83"/>
        <v>50.8</v>
      </c>
      <c r="CG38" s="122">
        <f t="shared" si="84"/>
        <v>16</v>
      </c>
      <c r="CH38" s="123">
        <v>393</v>
      </c>
    </row>
    <row r="39" spans="2:86" ht="15" x14ac:dyDescent="0.25">
      <c r="B39" s="77">
        <v>1</v>
      </c>
      <c r="C39" s="78">
        <v>10</v>
      </c>
      <c r="D39" s="79">
        <f>(($W$35*$C39^4+$W$36*$C39^3+$W$37*$C39^2+$W$38*$C39+$W$39)*((((Tv_heat-Tr_heat)/LN((Tv_heat-Tl_heat)/(Tr_heat-Tl_heat)))/((75-65)/LN((75-20)/(65-20))))^1))*$D$14*$AA$11</f>
        <v>5443.7355631295341</v>
      </c>
      <c r="E39" s="96">
        <f>ROUND(((D39/$D$14)/((Tv_heat-Tr_heat)*1.163))*$E$14,IF($W$4=1,0,IF($W$4=2,2)))</f>
        <v>468</v>
      </c>
      <c r="F39" s="81">
        <f t="shared" si="85"/>
        <v>9.9187672702891003</v>
      </c>
      <c r="G39" s="79">
        <f>(($Y$35*$C39^4+$Y$36*$C39^3+$Y$37*$C39^2+$Y$38*$C39+$Y$39)*((((Tv_cool-Tr_cool)/LN((Tv_cool-Tl_cool)/(Tr_cool-Tl_cool)))/((16-18)/LN((16-27)/(18-27))))^S39))*$G$14*$AA$11</f>
        <v>964.64538116255824</v>
      </c>
      <c r="H39" s="80">
        <f>((G39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39+0.001448)*(Tl_cool-((Tv_cool+Tr_cool)/2))+(0.016908*$C39-0.033574))*1.039&gt;1,1,1/(1+((2258*((0.622/((p_atm/(1*611*EXP(17.27*(((Tv_cool+Tr_cool)/2)/(((Tv_cool+Tr_cool)/2)+237.3))))))-1)*1000-(0.622/((p_atm/(RH*611*EXP(17.27*(Tl_cool/(Tl_cool+237.3))))))-1)*1000))/(1005*(((Tv_cool+Tr_cool)/2)-Tl_cool))))*1.039+((-0.000729*$C39+0.001448)*(Tl_cool-((Tv_cool+Tr_cool)/2))+(0.016908*$C39-0.033574))*1.039))))*$H$14</f>
        <v>1101.5610144486232</v>
      </c>
      <c r="I39" s="96">
        <f>ROUND(((H39/$H$14)/((Tr_cool-Tv_cool)*1.163))*$I$14,IF($W$4=1,0,IF($W$4=2,2)))</f>
        <v>158</v>
      </c>
      <c r="J39" s="82">
        <f t="shared" si="86"/>
        <v>1.3607117905256103</v>
      </c>
      <c r="K39" s="94">
        <f t="shared" si="66"/>
        <v>47</v>
      </c>
      <c r="L39" s="91">
        <f t="shared" si="67"/>
        <v>55</v>
      </c>
      <c r="M39" s="76">
        <f t="shared" si="68"/>
        <v>28.8</v>
      </c>
      <c r="N39" s="101">
        <f t="shared" si="69"/>
        <v>510</v>
      </c>
      <c r="O39" s="171">
        <f>(Tl_heat+(($D39/$G$14)/(1006*$N39*$K$14)))*(0.05*$C39+0.7)*$M$14+$O$14</f>
        <v>62.070284618780079</v>
      </c>
      <c r="P39" s="172">
        <f>(Tl_cool-((G39/$G$14)/(1006*N39*$K$14)))*$M$14+$O$14</f>
        <v>19.3781979930313</v>
      </c>
      <c r="Q39" s="61"/>
      <c r="S39" s="104">
        <v>1</v>
      </c>
      <c r="W39" s="124">
        <f t="shared" si="70"/>
        <v>2614.5642089837888</v>
      </c>
      <c r="X39" s="125">
        <f t="shared" si="71"/>
        <v>0</v>
      </c>
      <c r="Y39" s="126">
        <f t="shared" si="72"/>
        <v>379.76208308685494</v>
      </c>
      <c r="Z39" s="125">
        <f t="shared" si="73"/>
        <v>0</v>
      </c>
      <c r="AA39" s="126">
        <f t="shared" si="74"/>
        <v>55</v>
      </c>
      <c r="AB39" s="126">
        <f t="shared" si="75"/>
        <v>28.8</v>
      </c>
      <c r="AC39" s="126">
        <f t="shared" si="76"/>
        <v>510</v>
      </c>
      <c r="AD39" s="127" t="s">
        <v>63</v>
      </c>
      <c r="AE39" s="124">
        <v>-11.0814668782744</v>
      </c>
      <c r="AF39" s="128"/>
      <c r="AG39" s="126">
        <v>482.80744337778077</v>
      </c>
      <c r="AH39" s="128"/>
      <c r="AI39" s="129">
        <v>56</v>
      </c>
      <c r="AJ39" s="129">
        <v>28.8</v>
      </c>
      <c r="AK39" s="130">
        <v>560</v>
      </c>
      <c r="AL39" s="124">
        <v>2163.6048102319037</v>
      </c>
      <c r="AM39" s="128"/>
      <c r="AN39" s="126">
        <v>283.02730631532029</v>
      </c>
      <c r="AO39" s="128"/>
      <c r="AP39" s="129">
        <f t="shared" si="77"/>
        <v>56</v>
      </c>
      <c r="AQ39" s="129">
        <v>28.8</v>
      </c>
      <c r="AR39" s="130">
        <v>420</v>
      </c>
      <c r="AS39" s="124">
        <v>2614.5642089837888</v>
      </c>
      <c r="AT39" s="128"/>
      <c r="AU39" s="126">
        <v>379.76208308685494</v>
      </c>
      <c r="AV39" s="128"/>
      <c r="AW39" s="129">
        <v>55</v>
      </c>
      <c r="AX39" s="129">
        <f t="shared" si="78"/>
        <v>28.8</v>
      </c>
      <c r="AY39" s="130">
        <v>510</v>
      </c>
      <c r="AZ39" s="124">
        <v>2025.6470693484523</v>
      </c>
      <c r="BA39" s="128"/>
      <c r="BB39" s="126">
        <v>228.6064063053341</v>
      </c>
      <c r="BC39" s="128"/>
      <c r="BD39" s="129">
        <f t="shared" si="79"/>
        <v>55</v>
      </c>
      <c r="BE39" s="129">
        <f t="shared" si="80"/>
        <v>28.8</v>
      </c>
      <c r="BF39" s="130">
        <v>382</v>
      </c>
      <c r="BG39" s="124">
        <v>3546.9026600779671</v>
      </c>
      <c r="BH39" s="128"/>
      <c r="BI39" s="126">
        <v>613.16879517825794</v>
      </c>
      <c r="BJ39" s="128"/>
      <c r="BK39" s="129">
        <v>56.5</v>
      </c>
      <c r="BL39" s="129">
        <v>28.8</v>
      </c>
      <c r="BM39" s="130">
        <v>583</v>
      </c>
      <c r="BN39" s="124">
        <v>1396.965717339323</v>
      </c>
      <c r="BO39" s="128"/>
      <c r="BP39" s="126">
        <v>389.55522439955126</v>
      </c>
      <c r="BQ39" s="128"/>
      <c r="BR39" s="129">
        <f t="shared" si="81"/>
        <v>56.5</v>
      </c>
      <c r="BS39" s="129">
        <v>27.3</v>
      </c>
      <c r="BT39" s="130">
        <v>508</v>
      </c>
      <c r="BU39" s="124">
        <v>3621.1755888499029</v>
      </c>
      <c r="BV39" s="128"/>
      <c r="BW39" s="126">
        <v>500.42990714727654</v>
      </c>
      <c r="BX39" s="128"/>
      <c r="BY39" s="126">
        <v>54.5</v>
      </c>
      <c r="BZ39" s="129">
        <f t="shared" si="82"/>
        <v>28.8</v>
      </c>
      <c r="CA39" s="130">
        <v>531</v>
      </c>
      <c r="CB39" s="126">
        <v>1716.3174609491957</v>
      </c>
      <c r="CC39" s="128"/>
      <c r="CD39" s="126">
        <v>414.98793571736508</v>
      </c>
      <c r="CE39" s="128"/>
      <c r="CF39" s="126">
        <f t="shared" si="83"/>
        <v>54.5</v>
      </c>
      <c r="CG39" s="129">
        <f t="shared" si="84"/>
        <v>27.3</v>
      </c>
      <c r="CH39" s="130">
        <v>462</v>
      </c>
    </row>
    <row r="40" spans="2:86" ht="9.4" customHeight="1" x14ac:dyDescent="0.25">
      <c r="B40" s="83" t="str">
        <f>IF($S$7=1,NL!B40,IF(cal!$S$7=2,EN!B40,IF(cal!$S$7=3,DE!B40,IF(cal!$S$7=4,FR!B40,IF(cal!$S$7=5,NR!B40,IF(cal!$S$7=6,SP!B40,IF(cal!$S$7=7,SW!B40,IF(cal!$S$7=8,TS!B40,IF(cal!$S$7=9,ExtraTaal1!B40,IF(cal!$S$7=10,ExtraTaal2!B40,IF(cal!$S$7=11,ExtraTaal3!B40,)))))))))))</f>
        <v>*Geluidsvermogen gemeten volgens ISO 3741:2010</v>
      </c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84"/>
      <c r="O40" s="85"/>
      <c r="P40" s="85" t="str">
        <f>'Briza 12'!P39</f>
        <v>v2021-04-26</v>
      </c>
      <c r="Q40" s="61"/>
      <c r="W40" s="132" t="s">
        <v>40</v>
      </c>
      <c r="X40" s="141">
        <f t="shared" si="71"/>
        <v>41</v>
      </c>
      <c r="Y40" s="132" t="s">
        <v>41</v>
      </c>
      <c r="Z40" s="141">
        <f t="shared" si="73"/>
        <v>14</v>
      </c>
      <c r="AA40" s="132" t="s">
        <v>42</v>
      </c>
      <c r="AB40" s="134">
        <f t="shared" si="75"/>
        <v>145</v>
      </c>
      <c r="AC40" s="142"/>
      <c r="AD40" s="136"/>
      <c r="AE40" s="143" t="s">
        <v>40</v>
      </c>
      <c r="AF40" s="144">
        <f>38*IF($W$4=1,1,IF($W$4=2,1/2.54))</f>
        <v>38</v>
      </c>
      <c r="AG40" s="143" t="s">
        <v>41</v>
      </c>
      <c r="AH40" s="144">
        <f>12*IF($W$4=1,1,IF($W$4=2,1/2.54))</f>
        <v>12</v>
      </c>
      <c r="AI40" s="143" t="s">
        <v>42</v>
      </c>
      <c r="AJ40" s="264">
        <f>122*IF($W$4=1,1,IF($W$4=2,1/2.54))</f>
        <v>122</v>
      </c>
      <c r="AK40" s="145"/>
      <c r="AL40" s="132" t="s">
        <v>40</v>
      </c>
      <c r="AM40" s="139">
        <f>38*IF($W$4=1,1,IF($W$4=2,1/2.54))</f>
        <v>38</v>
      </c>
      <c r="AN40" s="132" t="s">
        <v>41</v>
      </c>
      <c r="AO40" s="139">
        <f>12*IF($W$4=1,1,IF($W$4=2,1/2.54))</f>
        <v>12</v>
      </c>
      <c r="AP40" s="132" t="s">
        <v>42</v>
      </c>
      <c r="AQ40" s="263">
        <f>122*IF($W$4=1,1,IF($W$4=2,1/2.54))</f>
        <v>122</v>
      </c>
      <c r="AR40" s="145"/>
      <c r="AS40" s="132" t="s">
        <v>40</v>
      </c>
      <c r="AT40" s="139">
        <f>41*IF($W$4=1,1,IF($W$4=2,1/2.54))</f>
        <v>41</v>
      </c>
      <c r="AU40" s="132" t="s">
        <v>41</v>
      </c>
      <c r="AV40" s="139">
        <f>14*IF($W$4=1,1,IF($W$4=2,1/2.54))</f>
        <v>14</v>
      </c>
      <c r="AW40" s="132" t="s">
        <v>42</v>
      </c>
      <c r="AX40" s="263">
        <f>145*IF($W$4=1,1,IF($W$4=2,1/2.54))</f>
        <v>145</v>
      </c>
      <c r="AY40" s="145"/>
      <c r="AZ40" s="132" t="s">
        <v>40</v>
      </c>
      <c r="BA40" s="139">
        <f>41*IF($W$4=1,1,IF($W$4=2,1/2.54))</f>
        <v>41</v>
      </c>
      <c r="BB40" s="132" t="s">
        <v>41</v>
      </c>
      <c r="BC40" s="139">
        <f>14*IF($W$4=1,1,IF($W$4=2,1/2.54))</f>
        <v>14</v>
      </c>
      <c r="BD40" s="132" t="s">
        <v>42</v>
      </c>
      <c r="BE40" s="263">
        <f>145*IF($W$4=1,1,IF($W$4=2,1/2.54))</f>
        <v>145</v>
      </c>
      <c r="BF40" s="145"/>
      <c r="BG40" s="132" t="s">
        <v>40</v>
      </c>
      <c r="BH40" s="139">
        <f>52*IF($W$4=1,1,IF($W$4=2,1/2.54))</f>
        <v>52</v>
      </c>
      <c r="BI40" s="132" t="s">
        <v>41</v>
      </c>
      <c r="BJ40" s="139">
        <f>12*IF($W$4=1,1,IF($W$4=2,1/2.54))</f>
        <v>12</v>
      </c>
      <c r="BK40" s="132" t="s">
        <v>42</v>
      </c>
      <c r="BL40" s="263">
        <f>122*IF($W$4=1,1,IF($W$4=2,1/2.54))</f>
        <v>122</v>
      </c>
      <c r="BM40" s="145"/>
      <c r="BN40" s="132" t="s">
        <v>40</v>
      </c>
      <c r="BO40" s="139">
        <f>52*IF($W$4=1,1,IF($W$4=2,1/2.54))</f>
        <v>52</v>
      </c>
      <c r="BP40" s="132" t="s">
        <v>41</v>
      </c>
      <c r="BQ40" s="139">
        <f>12*IF($W$4=1,1,IF($W$4=2,1/2.54))</f>
        <v>12</v>
      </c>
      <c r="BR40" s="132" t="s">
        <v>42</v>
      </c>
      <c r="BS40" s="263">
        <f>122*IF($W$4=1,1,IF($W$4=2,1/2.54))</f>
        <v>122</v>
      </c>
      <c r="BT40" s="145"/>
      <c r="BU40" s="132" t="s">
        <v>40</v>
      </c>
      <c r="BV40" s="139">
        <f>55*IF($W$4=1,1,IF($W$4=2,1/2.54))</f>
        <v>55</v>
      </c>
      <c r="BW40" s="132" t="s">
        <v>41</v>
      </c>
      <c r="BX40" s="139">
        <f>14*IF($W$4=1,1,IF($W$4=2,1/2.54))</f>
        <v>14</v>
      </c>
      <c r="BY40" s="132" t="s">
        <v>42</v>
      </c>
      <c r="BZ40" s="263">
        <f>145*IF($W$4=1,1,IF($W$4=2,1/2.54))</f>
        <v>145</v>
      </c>
      <c r="CA40" s="145"/>
      <c r="CB40" s="132" t="s">
        <v>40</v>
      </c>
      <c r="CC40" s="139">
        <f>55*IF($W$4=1,1,IF($W$4=2,1/2.54))</f>
        <v>55</v>
      </c>
      <c r="CD40" s="132" t="s">
        <v>41</v>
      </c>
      <c r="CE40" s="139">
        <f>14*IF($W$4=1,1,IF($W$4=2,1/2.54))</f>
        <v>14</v>
      </c>
      <c r="CF40" s="132" t="s">
        <v>42</v>
      </c>
      <c r="CG40" s="263">
        <f>145*IF($W$4=1,1,IF($W$4=2,1/2.54))</f>
        <v>145</v>
      </c>
      <c r="CH40" s="146"/>
    </row>
    <row r="41" spans="2:86" ht="9.4" customHeight="1" x14ac:dyDescent="0.25">
      <c r="B41" s="83" t="str">
        <f>IF($S$7=1,NL!B41,IF(cal!$S$7=2,EN!B41,IF(cal!$S$7=3,DE!B41,IF(cal!$S$7=4,FR!B41,IF(cal!$S$7=5,NR!B41,IF(cal!$S$7=6,SP!B41,IF(cal!$S$7=7,SW!B41,IF(cal!$S$7=8,TS!B41,IF(cal!$S$7=9,ExtraTaal1!B41,IF(cal!$S$7=10,ExtraTaal2!B41,IF(cal!$S$7=11,ExtraTaal3!B41,)))))))))))</f>
        <v>**Geluidsdruk bij een aangenomen ruimtedemping van 8 dB(A)</v>
      </c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61"/>
    </row>
    <row r="42" spans="2:86" ht="9" hidden="1" customHeight="1" x14ac:dyDescent="0.25"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61"/>
    </row>
    <row r="43" spans="2:86" s="51" customFormat="1" ht="16.149999999999999" hidden="1" customHeight="1" x14ac:dyDescent="0.25">
      <c r="W43" s="86"/>
      <c r="X43" s="86"/>
      <c r="Y43" s="86"/>
      <c r="Z43" s="86"/>
      <c r="AA43" s="86"/>
      <c r="AB43" s="86"/>
    </row>
    <row r="44" spans="2:86" ht="15" hidden="1" x14ac:dyDescent="0.25"/>
    <row r="45" spans="2:86" ht="15" hidden="1" x14ac:dyDescent="0.25"/>
    <row r="46" spans="2:86" ht="15" hidden="1" x14ac:dyDescent="0.25"/>
    <row r="47" spans="2:86" ht="15" hidden="1" x14ac:dyDescent="0.25"/>
    <row r="48" spans="2:86" ht="15" hidden="1" x14ac:dyDescent="0.25"/>
    <row r="49" ht="15" hidden="1" x14ac:dyDescent="0.25"/>
    <row r="50" ht="15" hidden="1" x14ac:dyDescent="0.25"/>
  </sheetData>
  <sheetProtection selectLockedCells="1"/>
  <dataConsolidate/>
  <mergeCells count="24">
    <mergeCell ref="CB16:CH16"/>
    <mergeCell ref="W16:AC16"/>
    <mergeCell ref="AE16:AK16"/>
    <mergeCell ref="AL16:AR16"/>
    <mergeCell ref="AS16:AY16"/>
    <mergeCell ref="AZ16:BF16"/>
    <mergeCell ref="BG16:BM16"/>
    <mergeCell ref="BN16:BT16"/>
    <mergeCell ref="BU16:CA16"/>
    <mergeCell ref="B22:P22"/>
    <mergeCell ref="B28:P28"/>
    <mergeCell ref="B34:P34"/>
    <mergeCell ref="G3:J3"/>
    <mergeCell ref="B9:D9"/>
    <mergeCell ref="G9:J9"/>
    <mergeCell ref="B10:D10"/>
    <mergeCell ref="G10:J10"/>
    <mergeCell ref="G5:J5"/>
    <mergeCell ref="M7:N7"/>
    <mergeCell ref="M8:N8"/>
    <mergeCell ref="B16:P16"/>
    <mergeCell ref="B11:D11"/>
    <mergeCell ref="G11:J11"/>
    <mergeCell ref="M9:N9"/>
  </mergeCells>
  <dataValidations disablePrompts="1" count="5">
    <dataValidation type="whole" errorStyle="information" allowBlank="1" error="Eingabe außerhalb des gültigen Bereichs." prompt="20°C bis 35°C" sqref="K11">
      <formula1>20</formula1>
      <formula2>35</formula2>
    </dataValidation>
    <dataValidation type="whole" errorStyle="information" allowBlank="1" error="Eingabe außerhalb des gültigen Bereichs." prompt="Eingabe zwischen Vorlauftemp. und Raumtemp." sqref="K10">
      <formula1>K9</formula1>
      <formula2>K11</formula2>
    </dataValidation>
    <dataValidation type="whole" errorStyle="information" allowBlank="1" prompt="Eingabe zwischen 5°C bis 20°C" sqref="K9">
      <formula1>5</formula1>
      <formula2>20</formula2>
    </dataValidation>
    <dataValidation type="decimal" errorStyle="information" allowBlank="1" prompt="20°C bis 35°C" sqref="K12">
      <formula1>0.3</formula1>
      <formula2>0.8</formula2>
    </dataValidation>
    <dataValidation allowBlank="1" showInputMessage="1" sqref="E9:E11"/>
  </dataValidations>
  <pageMargins left="0.5" right="0.47222222222222221" top="1.0555555555555556" bottom="0.81944444444444442" header="0.43055555555555558" footer="0.40277777777777779"/>
  <pageSetup paperSize="9" orientation="portrait" r:id="rId1"/>
  <headerFooter>
    <oddHeader xml:space="preserve">&amp;L
&amp;R
</oddHeader>
  </headerFooter>
  <ignoredErrors>
    <ignoredError sqref="S9 S10:S11 W9:W11 W18:AC21 W23:AC27 W29:AC33 W35:AC39 E9:E11 M8 K9:K12 X17:AC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/>
  <dimension ref="B1:T49"/>
  <sheetViews>
    <sheetView workbookViewId="0">
      <selection activeCell="K2" sqref="K2:L2"/>
    </sheetView>
  </sheetViews>
  <sheetFormatPr defaultColWidth="5.7109375" defaultRowHeight="15" zeroHeight="1" x14ac:dyDescent="0.25"/>
  <cols>
    <col min="1" max="1" width="5.7109375" style="1"/>
    <col min="2" max="2" width="7" style="1" customWidth="1"/>
    <col min="3" max="3" width="6.140625" style="1" customWidth="1"/>
    <col min="4" max="4" width="7" style="1" customWidth="1"/>
    <col min="5" max="5" width="6.7109375" style="1" customWidth="1"/>
    <col min="6" max="16" width="7" style="1" customWidth="1"/>
    <col min="17" max="16384" width="5.7109375" style="1"/>
  </cols>
  <sheetData>
    <row r="1" spans="2:20" x14ac:dyDescent="0.25"/>
    <row r="2" spans="2:20" s="3" customFormat="1" x14ac:dyDescent="0.25">
      <c r="B2" s="22"/>
    </row>
    <row r="3" spans="2:20" s="3" customFormat="1" x14ac:dyDescent="0.25">
      <c r="B3" s="24" t="s">
        <v>11</v>
      </c>
      <c r="C3" s="23"/>
    </row>
    <row r="4" spans="2:20" s="3" customFormat="1" x14ac:dyDescent="0.25">
      <c r="B4" s="22"/>
      <c r="H4" s="326" t="s">
        <v>90</v>
      </c>
      <c r="I4" s="327">
        <v>0</v>
      </c>
      <c r="J4" s="327">
        <v>0</v>
      </c>
      <c r="K4" s="328">
        <v>0</v>
      </c>
    </row>
    <row r="5" spans="2:20" s="3" customFormat="1" x14ac:dyDescent="0.25">
      <c r="B5" s="29" t="s">
        <v>10</v>
      </c>
      <c r="H5" s="326" t="s">
        <v>91</v>
      </c>
      <c r="I5" s="327">
        <v>0</v>
      </c>
      <c r="J5" s="327">
        <v>0</v>
      </c>
      <c r="K5" s="328">
        <v>0</v>
      </c>
    </row>
    <row r="6" spans="2:20" s="3" customFormat="1" ht="6" customHeigh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1"/>
      <c r="P6" s="12"/>
    </row>
    <row r="7" spans="2:20" x14ac:dyDescent="0.25">
      <c r="B7" s="176" t="s">
        <v>2</v>
      </c>
      <c r="C7" s="192"/>
      <c r="D7" s="192"/>
      <c r="E7" s="8"/>
      <c r="F7" s="8"/>
      <c r="G7" s="8"/>
      <c r="H7" s="8"/>
      <c r="I7" s="8"/>
      <c r="J7" s="8"/>
      <c r="K7" s="8"/>
      <c r="L7" s="8"/>
      <c r="M7" s="8"/>
      <c r="N7" s="14"/>
      <c r="O7" s="8"/>
      <c r="P7" s="14"/>
      <c r="Q7" s="1" t="s">
        <v>216</v>
      </c>
    </row>
    <row r="8" spans="2:20" x14ac:dyDescent="0.25">
      <c r="B8" s="176" t="s">
        <v>7</v>
      </c>
      <c r="C8" s="192"/>
      <c r="D8" s="192"/>
      <c r="E8" s="8"/>
      <c r="F8" s="8"/>
      <c r="G8" s="9" t="s">
        <v>8</v>
      </c>
      <c r="H8" s="9"/>
      <c r="I8" s="9"/>
      <c r="J8" s="8"/>
      <c r="K8" s="8"/>
      <c r="L8" s="8"/>
      <c r="M8" s="30"/>
      <c r="N8" s="14"/>
      <c r="O8" s="30"/>
      <c r="P8" s="14"/>
      <c r="Q8" s="1" t="s">
        <v>217</v>
      </c>
    </row>
    <row r="9" spans="2:20" ht="15.75" thickBot="1" x14ac:dyDescent="0.3">
      <c r="B9" s="322" t="str">
        <f>"Water aanvoer"</f>
        <v>Water aanvoer</v>
      </c>
      <c r="C9" s="323"/>
      <c r="D9" s="324"/>
      <c r="E9" s="98">
        <f>cal!E9</f>
        <v>75</v>
      </c>
      <c r="F9" s="50"/>
      <c r="G9" s="325" t="str">
        <f>B9</f>
        <v>Water aanvoer</v>
      </c>
      <c r="H9" s="325"/>
      <c r="I9" s="325"/>
      <c r="J9" s="325"/>
      <c r="K9" s="98">
        <f>cal!K9</f>
        <v>8</v>
      </c>
      <c r="L9" s="8"/>
      <c r="M9" s="311" t="s">
        <v>105</v>
      </c>
      <c r="N9" s="312"/>
      <c r="O9" s="8"/>
      <c r="P9" s="14"/>
      <c r="Q9" s="1" t="s">
        <v>218</v>
      </c>
    </row>
    <row r="10" spans="2:20" ht="15.75" thickTop="1" x14ac:dyDescent="0.25">
      <c r="B10" s="322" t="str">
        <f>"Water retour"</f>
        <v>Water retour</v>
      </c>
      <c r="C10" s="323"/>
      <c r="D10" s="324"/>
      <c r="E10" s="98">
        <f>cal!E10</f>
        <v>65</v>
      </c>
      <c r="F10" s="50"/>
      <c r="G10" s="325" t="str">
        <f>B10</f>
        <v>Water retour</v>
      </c>
      <c r="H10" s="325"/>
      <c r="I10" s="325"/>
      <c r="J10" s="325"/>
      <c r="K10" s="98">
        <f>cal!K10</f>
        <v>14</v>
      </c>
      <c r="L10" s="8"/>
      <c r="M10" s="8"/>
      <c r="N10" s="14"/>
      <c r="O10" s="8"/>
      <c r="P10" s="14"/>
    </row>
    <row r="11" spans="2:20" x14ac:dyDescent="0.25">
      <c r="B11" s="322" t="str">
        <f>"Ruimte"</f>
        <v>Ruimte</v>
      </c>
      <c r="C11" s="323"/>
      <c r="D11" s="324"/>
      <c r="E11" s="98">
        <f>cal!E11</f>
        <v>20</v>
      </c>
      <c r="F11" s="50"/>
      <c r="G11" s="325" t="str">
        <f>B11</f>
        <v>Ruimte</v>
      </c>
      <c r="H11" s="325"/>
      <c r="I11" s="325"/>
      <c r="J11" s="325"/>
      <c r="K11" s="98">
        <f>cal!K11</f>
        <v>25</v>
      </c>
      <c r="L11" s="8"/>
      <c r="M11" s="8"/>
      <c r="N11" s="14"/>
      <c r="O11" s="8"/>
      <c r="P11" s="14"/>
    </row>
    <row r="12" spans="2:20" x14ac:dyDescent="0.25">
      <c r="B12" s="201"/>
      <c r="C12" s="192"/>
      <c r="D12" s="192"/>
      <c r="E12" s="8"/>
      <c r="F12" s="8"/>
      <c r="G12" s="192" t="s">
        <v>111</v>
      </c>
      <c r="H12" s="8"/>
      <c r="I12" s="8"/>
      <c r="J12" s="8"/>
      <c r="K12" s="65">
        <f>cal!K12</f>
        <v>0.5</v>
      </c>
      <c r="L12" s="8"/>
      <c r="M12" s="8"/>
      <c r="N12" s="14"/>
      <c r="O12" s="8"/>
      <c r="P12" s="14"/>
    </row>
    <row r="13" spans="2:20" ht="6" customHeight="1" x14ac:dyDescent="0.25">
      <c r="B13" s="16"/>
      <c r="C13" s="17"/>
      <c r="D13" s="17"/>
      <c r="E13" s="17"/>
      <c r="F13" s="18"/>
      <c r="G13" s="18"/>
      <c r="H13" s="18"/>
      <c r="I13" s="18"/>
      <c r="J13" s="18"/>
      <c r="K13" s="18"/>
      <c r="L13" s="18"/>
      <c r="M13" s="18"/>
      <c r="N13" s="19"/>
      <c r="O13" s="18"/>
      <c r="P13" s="19"/>
    </row>
    <row r="14" spans="2:20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</row>
    <row r="15" spans="2:20" s="2" customFormat="1" ht="95.45" customHeight="1" x14ac:dyDescent="0.25">
      <c r="B15" s="27" t="s">
        <v>184</v>
      </c>
      <c r="C15" s="20" t="s">
        <v>180</v>
      </c>
      <c r="D15" s="27" t="str">
        <f>CONCATENATE("Warmteafgifte  ",ROUND(E9,0),"/",ROUND(E10,0),"/",ROUND(E11,0)," ["&amp;IF(UnitsNo=1,"W",IF(UnitsNo=2,"Btu/h"))&amp;"]")</f>
        <v>Warmteafgifte  75/65/20 [W]</v>
      </c>
      <c r="E15" s="31" t="str">
        <f>"Waterdebiet, verwarming ["&amp;IF(UnitsNo=1,"l/h",IF(UnitsNo=2,"GPM"))&amp;"]"</f>
        <v>Waterdebiet, verwarming [l/h]</v>
      </c>
      <c r="F15" s="34" t="str">
        <f>"Waterzijdig drukverlies ["&amp;IF(UnitsNo=1,"kPa",IF(UnitsNo=2,"inH2O"))&amp;"]"</f>
        <v>Waterzijdig drukverlies [kPa]</v>
      </c>
      <c r="G15" s="20" t="str">
        <f>CONCATENATE("Voelb. Koelcapaciteit  ",ROUND(K9,0),"/",,ROUND(K10,0),"/",,ROUND(K11,0)," ["&amp;IF(UnitsNo=1,"W",IF(UnitsNo=2,"Btu/h"))&amp;"]")</f>
        <v>Voelb. Koelcapaciteit  8/14/25 [W]</v>
      </c>
      <c r="H15" s="20" t="str">
        <f>CONCATENATE("Tot. koelcapaciteit ",,ROUND(K9,0),"/",,ROUND(K10,0),"/",,ROUND(K11,0)," ["&amp;IF(UnitsNo=1,"W",IF(UnitsNo=2,"Btu/h"))&amp;"]")</f>
        <v>Tot. koelcapaciteit 8/14/25 [W]</v>
      </c>
      <c r="I15" s="20" t="str">
        <f>"Waterdebiet, koeling ["&amp;IF(UnitsNo=1,"l/h",IF(UnitsNo=2,"GPM"))&amp;"]"</f>
        <v>Waterdebiet, koeling [l/h]</v>
      </c>
      <c r="J15" s="21" t="str">
        <f>"Waterzijdig drukverlies ["&amp;IF(UnitsNo=1,"kPa",IF(UnitsNo=2,"inH2O"))&amp;"]"</f>
        <v>Waterzijdig drukverlies [kPa]</v>
      </c>
      <c r="K15" s="27" t="s">
        <v>49</v>
      </c>
      <c r="L15" s="33" t="s">
        <v>50</v>
      </c>
      <c r="M15" s="20" t="s">
        <v>9</v>
      </c>
      <c r="N15" s="26" t="str">
        <f>"Luchtdebiet ["&amp;IF(UnitsNo=1,"m³/h",IF(UnitsNo=2,"CFM"))&amp;"]"</f>
        <v>Luchtdebiet [m³/h]</v>
      </c>
      <c r="O15" s="20" t="str">
        <f>"Uitblaastemp. verwarming  ["&amp;IF(UnitsNo=1,"°C",IF(UnitsNo=2,"°F"))&amp;"]"</f>
        <v>Uitblaastemp. verwarming  [°C]</v>
      </c>
      <c r="P15" s="20" t="str">
        <f>"Uitblaastemp. koeling  ["&amp;IF(UnitsNo=1,"°C",IF(UnitsNo=2,"°F"))&amp;"]"</f>
        <v>Uitblaastemp. koeling  [°C]</v>
      </c>
    </row>
    <row r="16" spans="2:20" ht="18" customHeight="1" x14ac:dyDescent="0.25">
      <c r="B16" s="319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1)"</f>
        <v>Briza 12 hoogte 41 cm breedte 14 cm lengte 75 cm (Type 1)</v>
      </c>
      <c r="C16" s="320"/>
      <c r="D16" s="319"/>
      <c r="E16" s="321"/>
      <c r="F16" s="320"/>
      <c r="G16" s="320"/>
      <c r="H16" s="320"/>
      <c r="I16" s="320"/>
      <c r="J16" s="320"/>
      <c r="K16" s="319"/>
      <c r="L16" s="320"/>
      <c r="M16" s="320"/>
      <c r="N16" s="321"/>
      <c r="R16" s="1" t="s">
        <v>93</v>
      </c>
      <c r="T16" s="197" t="s">
        <v>112</v>
      </c>
    </row>
    <row r="17" spans="2:20" x14ac:dyDescent="0.25">
      <c r="B17" s="35"/>
      <c r="C17" s="4"/>
      <c r="D17" s="28"/>
      <c r="E17" s="5"/>
      <c r="F17" s="32"/>
      <c r="G17" s="5"/>
      <c r="H17" s="5"/>
      <c r="I17" s="5"/>
      <c r="J17" s="6"/>
      <c r="K17" s="28"/>
      <c r="L17" s="44"/>
      <c r="M17" s="48"/>
      <c r="N17" s="36"/>
      <c r="O17" s="48"/>
      <c r="P17" s="36"/>
      <c r="R17" s="1" t="s">
        <v>94</v>
      </c>
      <c r="T17" s="197" t="s">
        <v>113</v>
      </c>
    </row>
    <row r="18" spans="2:20" x14ac:dyDescent="0.25">
      <c r="B18" s="35"/>
      <c r="C18" s="4"/>
      <c r="D18" s="28"/>
      <c r="E18" s="5"/>
      <c r="F18" s="32"/>
      <c r="G18" s="5"/>
      <c r="H18" s="5"/>
      <c r="I18" s="5"/>
      <c r="J18" s="6"/>
      <c r="K18" s="28"/>
      <c r="L18" s="44"/>
      <c r="M18" s="48"/>
      <c r="N18" s="36"/>
      <c r="O18" s="48"/>
      <c r="P18" s="36"/>
      <c r="R18" s="1" t="s">
        <v>95</v>
      </c>
      <c r="T18" s="197" t="s">
        <v>114</v>
      </c>
    </row>
    <row r="19" spans="2:20" x14ac:dyDescent="0.25">
      <c r="B19" s="35"/>
      <c r="C19" s="4"/>
      <c r="D19" s="28"/>
      <c r="E19" s="5"/>
      <c r="F19" s="32"/>
      <c r="G19" s="5"/>
      <c r="H19" s="5"/>
      <c r="I19" s="5"/>
      <c r="J19" s="6"/>
      <c r="K19" s="28"/>
      <c r="L19" s="44"/>
      <c r="M19" s="48"/>
      <c r="N19" s="36"/>
      <c r="O19" s="48"/>
      <c r="P19" s="36"/>
    </row>
    <row r="20" spans="2:20" x14ac:dyDescent="0.25">
      <c r="B20" s="35"/>
      <c r="C20" s="4"/>
      <c r="D20" s="28"/>
      <c r="E20" s="5"/>
      <c r="F20" s="32"/>
      <c r="G20" s="5"/>
      <c r="H20" s="5"/>
      <c r="I20" s="5"/>
      <c r="J20" s="6"/>
      <c r="K20" s="28"/>
      <c r="L20" s="44"/>
      <c r="M20" s="48"/>
      <c r="N20" s="36"/>
      <c r="O20" s="48"/>
      <c r="P20" s="36"/>
    </row>
    <row r="21" spans="2:20" x14ac:dyDescent="0.25">
      <c r="B21" s="35"/>
      <c r="C21" s="4"/>
      <c r="D21" s="28"/>
      <c r="E21" s="5"/>
      <c r="F21" s="32"/>
      <c r="G21" s="5"/>
      <c r="H21" s="5"/>
      <c r="I21" s="5"/>
      <c r="J21" s="6"/>
      <c r="K21" s="28"/>
      <c r="L21" s="44"/>
      <c r="M21" s="48"/>
      <c r="N21" s="36"/>
      <c r="O21" s="48"/>
      <c r="P21" s="36"/>
    </row>
    <row r="22" spans="2:20" ht="16.899999999999999" customHeight="1" x14ac:dyDescent="0.25">
      <c r="B22" s="319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2)"</f>
        <v>Briza 12 hoogte 41 cm breedte 14 cm lengte 95 cm (Type 2)</v>
      </c>
      <c r="C22" s="320"/>
      <c r="D22" s="319"/>
      <c r="E22" s="321"/>
      <c r="F22" s="320"/>
      <c r="G22" s="320"/>
      <c r="H22" s="320"/>
      <c r="I22" s="320"/>
      <c r="J22" s="320"/>
      <c r="K22" s="319"/>
      <c r="L22" s="320"/>
      <c r="M22" s="320"/>
      <c r="N22" s="321"/>
    </row>
    <row r="23" spans="2:20" x14ac:dyDescent="0.25">
      <c r="B23" s="35"/>
      <c r="C23" s="4"/>
      <c r="D23" s="28"/>
      <c r="E23" s="5"/>
      <c r="F23" s="32"/>
      <c r="G23" s="5"/>
      <c r="H23" s="5"/>
      <c r="I23" s="5"/>
      <c r="J23" s="6"/>
      <c r="K23" s="28"/>
      <c r="L23" s="44"/>
      <c r="M23" s="48"/>
      <c r="N23" s="36"/>
      <c r="O23" s="48"/>
      <c r="P23" s="36"/>
    </row>
    <row r="24" spans="2:20" x14ac:dyDescent="0.25">
      <c r="B24" s="35"/>
      <c r="C24" s="4"/>
      <c r="D24" s="28"/>
      <c r="E24" s="5"/>
      <c r="F24" s="32"/>
      <c r="G24" s="5"/>
      <c r="H24" s="5"/>
      <c r="I24" s="5"/>
      <c r="J24" s="6"/>
      <c r="K24" s="28"/>
      <c r="L24" s="44"/>
      <c r="M24" s="48"/>
      <c r="N24" s="36"/>
      <c r="O24" s="48"/>
      <c r="P24" s="36"/>
    </row>
    <row r="25" spans="2:20" x14ac:dyDescent="0.25">
      <c r="B25" s="35"/>
      <c r="C25" s="4"/>
      <c r="D25" s="28"/>
      <c r="E25" s="5"/>
      <c r="F25" s="32"/>
      <c r="G25" s="5"/>
      <c r="H25" s="5"/>
      <c r="I25" s="5"/>
      <c r="J25" s="6"/>
      <c r="K25" s="28"/>
      <c r="L25" s="44"/>
      <c r="M25" s="48"/>
      <c r="N25" s="36"/>
      <c r="O25" s="48"/>
      <c r="P25" s="36"/>
    </row>
    <row r="26" spans="2:20" x14ac:dyDescent="0.25">
      <c r="B26" s="35"/>
      <c r="C26" s="4"/>
      <c r="D26" s="28"/>
      <c r="E26" s="5"/>
      <c r="F26" s="32"/>
      <c r="G26" s="5"/>
      <c r="H26" s="5"/>
      <c r="I26" s="5"/>
      <c r="J26" s="6"/>
      <c r="K26" s="28"/>
      <c r="L26" s="44"/>
      <c r="M26" s="48"/>
      <c r="N26" s="36"/>
      <c r="O26" s="48"/>
      <c r="P26" s="36"/>
    </row>
    <row r="27" spans="2:20" x14ac:dyDescent="0.25">
      <c r="B27" s="35"/>
      <c r="C27" s="4"/>
      <c r="D27" s="28"/>
      <c r="E27" s="5"/>
      <c r="F27" s="32"/>
      <c r="G27" s="5"/>
      <c r="H27" s="5"/>
      <c r="I27" s="5"/>
      <c r="J27" s="6"/>
      <c r="K27" s="28"/>
      <c r="L27" s="44"/>
      <c r="M27" s="48"/>
      <c r="N27" s="36"/>
      <c r="O27" s="48"/>
      <c r="P27" s="36"/>
    </row>
    <row r="28" spans="2:20" ht="18" customHeight="1" x14ac:dyDescent="0.25">
      <c r="B28" s="319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Briza 12 hoogte 41 cm breedte 14 cm lengte 125 cm (Type 3)</v>
      </c>
      <c r="C28" s="320"/>
      <c r="D28" s="319"/>
      <c r="E28" s="321"/>
      <c r="F28" s="320"/>
      <c r="G28" s="320"/>
      <c r="H28" s="320"/>
      <c r="I28" s="320"/>
      <c r="J28" s="320"/>
      <c r="K28" s="319"/>
      <c r="L28" s="320"/>
      <c r="M28" s="320"/>
      <c r="N28" s="321"/>
    </row>
    <row r="29" spans="2:20" x14ac:dyDescent="0.25">
      <c r="B29" s="35"/>
      <c r="C29" s="4"/>
      <c r="D29" s="28"/>
      <c r="E29" s="5"/>
      <c r="F29" s="32"/>
      <c r="G29" s="5"/>
      <c r="H29" s="5"/>
      <c r="I29" s="5"/>
      <c r="J29" s="6"/>
      <c r="K29" s="28"/>
      <c r="L29" s="44"/>
      <c r="M29" s="48"/>
      <c r="N29" s="36"/>
      <c r="O29" s="48"/>
      <c r="P29" s="36"/>
    </row>
    <row r="30" spans="2:20" x14ac:dyDescent="0.25">
      <c r="B30" s="35"/>
      <c r="C30" s="4"/>
      <c r="D30" s="28"/>
      <c r="E30" s="5"/>
      <c r="F30" s="32"/>
      <c r="G30" s="5"/>
      <c r="H30" s="5"/>
      <c r="I30" s="5"/>
      <c r="J30" s="6"/>
      <c r="K30" s="28"/>
      <c r="L30" s="44"/>
      <c r="M30" s="48"/>
      <c r="N30" s="36"/>
      <c r="O30" s="48"/>
      <c r="P30" s="36"/>
    </row>
    <row r="31" spans="2:20" x14ac:dyDescent="0.25">
      <c r="B31" s="35"/>
      <c r="C31" s="4"/>
      <c r="D31" s="28"/>
      <c r="E31" s="5"/>
      <c r="F31" s="32"/>
      <c r="G31" s="5"/>
      <c r="H31" s="5"/>
      <c r="I31" s="5"/>
      <c r="J31" s="6"/>
      <c r="K31" s="28"/>
      <c r="L31" s="44"/>
      <c r="M31" s="48"/>
      <c r="N31" s="36"/>
      <c r="O31" s="48"/>
      <c r="P31" s="36"/>
    </row>
    <row r="32" spans="2:20" x14ac:dyDescent="0.25">
      <c r="B32" s="35"/>
      <c r="C32" s="4"/>
      <c r="D32" s="28"/>
      <c r="E32" s="5"/>
      <c r="F32" s="32"/>
      <c r="G32" s="5"/>
      <c r="H32" s="5"/>
      <c r="I32" s="5"/>
      <c r="J32" s="6"/>
      <c r="K32" s="28"/>
      <c r="L32" s="44"/>
      <c r="M32" s="48"/>
      <c r="N32" s="36"/>
      <c r="O32" s="48"/>
      <c r="P32" s="36"/>
    </row>
    <row r="33" spans="2:16" x14ac:dyDescent="0.25">
      <c r="B33" s="35"/>
      <c r="C33" s="4"/>
      <c r="D33" s="28"/>
      <c r="E33" s="5"/>
      <c r="F33" s="32"/>
      <c r="G33" s="5"/>
      <c r="H33" s="5"/>
      <c r="I33" s="5"/>
      <c r="J33" s="6"/>
      <c r="K33" s="28"/>
      <c r="L33" s="44"/>
      <c r="M33" s="48"/>
      <c r="N33" s="36"/>
      <c r="O33" s="48"/>
      <c r="P33" s="36"/>
    </row>
    <row r="34" spans="2:16" ht="16.899999999999999" customHeight="1" x14ac:dyDescent="0.25">
      <c r="B34" s="319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Briza 12 hoogte 41 cm breedte 14 cm lengte 145 cm (Type 4)</v>
      </c>
      <c r="C34" s="320"/>
      <c r="D34" s="319"/>
      <c r="E34" s="321"/>
      <c r="F34" s="320"/>
      <c r="G34" s="320"/>
      <c r="H34" s="320"/>
      <c r="I34" s="320"/>
      <c r="J34" s="320"/>
      <c r="K34" s="319"/>
      <c r="L34" s="320"/>
      <c r="M34" s="320"/>
      <c r="N34" s="321"/>
    </row>
    <row r="35" spans="2:16" x14ac:dyDescent="0.25">
      <c r="B35" s="35"/>
      <c r="C35" s="4"/>
      <c r="D35" s="28"/>
      <c r="E35" s="5"/>
      <c r="F35" s="32"/>
      <c r="G35" s="5"/>
      <c r="H35" s="5"/>
      <c r="I35" s="5"/>
      <c r="J35" s="6"/>
      <c r="K35" s="28"/>
      <c r="L35" s="44"/>
      <c r="M35" s="48"/>
      <c r="N35" s="36"/>
      <c r="O35" s="48"/>
      <c r="P35" s="36"/>
    </row>
    <row r="36" spans="2:16" x14ac:dyDescent="0.25">
      <c r="B36" s="35"/>
      <c r="C36" s="4"/>
      <c r="D36" s="28"/>
      <c r="E36" s="5"/>
      <c r="F36" s="32"/>
      <c r="G36" s="5"/>
      <c r="H36" s="5"/>
      <c r="I36" s="5"/>
      <c r="J36" s="6"/>
      <c r="K36" s="28"/>
      <c r="L36" s="44"/>
      <c r="M36" s="48"/>
      <c r="N36" s="36"/>
      <c r="O36" s="48"/>
      <c r="P36" s="36"/>
    </row>
    <row r="37" spans="2:16" x14ac:dyDescent="0.25">
      <c r="B37" s="35"/>
      <c r="C37" s="4"/>
      <c r="D37" s="28"/>
      <c r="E37" s="5"/>
      <c r="F37" s="32"/>
      <c r="G37" s="5"/>
      <c r="H37" s="5"/>
      <c r="I37" s="5"/>
      <c r="J37" s="6"/>
      <c r="K37" s="28"/>
      <c r="L37" s="44"/>
      <c r="M37" s="48"/>
      <c r="N37" s="36"/>
      <c r="O37" s="48"/>
      <c r="P37" s="36"/>
    </row>
    <row r="38" spans="2:16" x14ac:dyDescent="0.25">
      <c r="B38" s="35"/>
      <c r="C38" s="4"/>
      <c r="D38" s="28"/>
      <c r="E38" s="5"/>
      <c r="F38" s="32"/>
      <c r="G38" s="5"/>
      <c r="H38" s="5"/>
      <c r="I38" s="5"/>
      <c r="J38" s="6"/>
      <c r="K38" s="28"/>
      <c r="L38" s="44"/>
      <c r="M38" s="48"/>
      <c r="N38" s="36"/>
      <c r="O38" s="48"/>
      <c r="P38" s="36"/>
    </row>
    <row r="39" spans="2:16" x14ac:dyDescent="0.25">
      <c r="B39" s="37"/>
      <c r="C39" s="38"/>
      <c r="D39" s="39"/>
      <c r="E39" s="40"/>
      <c r="F39" s="41"/>
      <c r="G39" s="40"/>
      <c r="H39" s="40"/>
      <c r="I39" s="40"/>
      <c r="J39" s="42"/>
      <c r="K39" s="39"/>
      <c r="L39" s="45"/>
      <c r="M39" s="48"/>
      <c r="N39" s="43"/>
      <c r="O39" s="48"/>
      <c r="P39" s="43"/>
    </row>
    <row r="40" spans="2:16" ht="9.4" customHeight="1" x14ac:dyDescent="0.25">
      <c r="B40" s="7" t="s">
        <v>51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49"/>
      <c r="N40" s="47" t="str">
        <f>cal!P40</f>
        <v>v2021-04-26</v>
      </c>
      <c r="O40" s="49"/>
      <c r="P40" s="47"/>
    </row>
    <row r="41" spans="2:16" ht="9.4" customHeight="1" x14ac:dyDescent="0.25">
      <c r="B41" s="7" t="s">
        <v>52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2:16" ht="9.4" customHeight="1" x14ac:dyDescent="0.25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2:16" s="3" customFormat="1" ht="16.149999999999999" hidden="1" customHeight="1" x14ac:dyDescent="0.25"/>
    <row r="44" spans="2:16" x14ac:dyDescent="0.25"/>
    <row r="45" spans="2:16" x14ac:dyDescent="0.25"/>
    <row r="46" spans="2:16" x14ac:dyDescent="0.25"/>
    <row r="47" spans="2:16" x14ac:dyDescent="0.25"/>
    <row r="48" spans="2:16" x14ac:dyDescent="0.25"/>
    <row r="49" x14ac:dyDescent="0.25"/>
  </sheetData>
  <sheetProtection selectLockedCells="1"/>
  <mergeCells count="13">
    <mergeCell ref="H4:K4"/>
    <mergeCell ref="H5:K5"/>
    <mergeCell ref="B16:N16"/>
    <mergeCell ref="B22:N22"/>
    <mergeCell ref="B28:N28"/>
    <mergeCell ref="M9:N9"/>
    <mergeCell ref="B34:N34"/>
    <mergeCell ref="B9:D9"/>
    <mergeCell ref="G9:J9"/>
    <mergeCell ref="B10:D10"/>
    <mergeCell ref="G10:J10"/>
    <mergeCell ref="B11:D11"/>
    <mergeCell ref="G11:J11"/>
  </mergeCells>
  <dataValidations count="7">
    <dataValidation type="decimal" errorStyle="information" allowBlank="1" showErrorMessage="1" error="Eingabe außerhalb des gültigen Bereichs." prompt="20°C bis 35°C" sqref="K12">
      <formula1>0.01</formula1>
      <formula2>1</formula2>
    </dataValidation>
    <dataValidation type="whole" errorStyle="information" allowBlank="1" showErrorMessage="1" error="Eingabe außerhalb des gültigen Bereichs." prompt="Eingabe zwischen 5°C bis 20°C" sqref="K9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K10">
      <formula1>K9</formula1>
      <formula2>K11</formula2>
    </dataValidation>
    <dataValidation type="whole" errorStyle="information" allowBlank="1" showErrorMessage="1" error="Temperatur außerhalb des gütligen Bereichs." prompt="Eingabe zwischen 30°C bis 95°C" sqref="E9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E10">
      <formula1>E11</formula1>
      <formula2>E9</formula2>
    </dataValidation>
    <dataValidation type="whole" errorStyle="information" allowBlank="1" showErrorMessage="1" error="Eingabe außerhalb des gültigen Bereichs." prompt="Eingabe zwischen 16°C bis 30°C" sqref="E11">
      <formula1>16</formula1>
      <formula2>30</formula2>
    </dataValidation>
    <dataValidation type="whole" errorStyle="information" allowBlank="1" showErrorMessage="1" error="Eingabe außerhalb des gültigen Bereichs." prompt="20°C bis 35°C" sqref="K11">
      <formula1>20</formula1>
      <formula2>35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/>
  <dimension ref="B1:T49"/>
  <sheetViews>
    <sheetView workbookViewId="0">
      <selection activeCell="K2" sqref="K2:L2"/>
    </sheetView>
  </sheetViews>
  <sheetFormatPr defaultColWidth="5.7109375" defaultRowHeight="15" zeroHeight="1" x14ac:dyDescent="0.25"/>
  <cols>
    <col min="1" max="1" width="5.7109375" style="1"/>
    <col min="2" max="2" width="7" style="1" customWidth="1"/>
    <col min="3" max="3" width="6.140625" style="1" customWidth="1"/>
    <col min="4" max="4" width="7" style="1" customWidth="1"/>
    <col min="5" max="5" width="6.7109375" style="1" customWidth="1"/>
    <col min="6" max="16" width="7" style="1" customWidth="1"/>
    <col min="17" max="16384" width="5.7109375" style="1"/>
  </cols>
  <sheetData>
    <row r="1" spans="2:20" x14ac:dyDescent="0.25"/>
    <row r="2" spans="2:20" s="3" customFormat="1" x14ac:dyDescent="0.25">
      <c r="B2" s="22"/>
    </row>
    <row r="3" spans="2:20" s="3" customFormat="1" x14ac:dyDescent="0.25">
      <c r="B3" s="24" t="s">
        <v>19</v>
      </c>
      <c r="C3" s="23"/>
    </row>
    <row r="4" spans="2:20" s="3" customFormat="1" x14ac:dyDescent="0.25">
      <c r="B4" s="22"/>
      <c r="H4" s="326" t="s">
        <v>88</v>
      </c>
      <c r="I4" s="327">
        <v>0</v>
      </c>
      <c r="J4" s="327">
        <v>0</v>
      </c>
      <c r="K4" s="328">
        <v>0</v>
      </c>
    </row>
    <row r="5" spans="2:20" s="3" customFormat="1" x14ac:dyDescent="0.25">
      <c r="B5" s="29" t="s">
        <v>17</v>
      </c>
      <c r="H5" s="326" t="s">
        <v>89</v>
      </c>
      <c r="I5" s="327">
        <v>0</v>
      </c>
      <c r="J5" s="327">
        <v>0</v>
      </c>
      <c r="K5" s="328">
        <v>0</v>
      </c>
    </row>
    <row r="6" spans="2:20" s="3" customFormat="1" ht="6" customHeigh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1"/>
      <c r="P6" s="12"/>
    </row>
    <row r="7" spans="2:20" x14ac:dyDescent="0.25">
      <c r="B7" s="176" t="s">
        <v>12</v>
      </c>
      <c r="C7" s="192"/>
      <c r="D7" s="192"/>
      <c r="E7" s="8"/>
      <c r="F7" s="8"/>
      <c r="G7" s="8"/>
      <c r="H7" s="8"/>
      <c r="I7" s="8"/>
      <c r="J7" s="8"/>
      <c r="K7" s="8"/>
      <c r="L7" s="8"/>
      <c r="M7" s="8"/>
      <c r="N7" s="14"/>
      <c r="O7" s="8"/>
      <c r="P7" s="14"/>
      <c r="Q7" s="1" t="s">
        <v>213</v>
      </c>
    </row>
    <row r="8" spans="2:20" x14ac:dyDescent="0.25">
      <c r="B8" s="176" t="s">
        <v>13</v>
      </c>
      <c r="C8" s="192"/>
      <c r="D8" s="192"/>
      <c r="E8" s="8"/>
      <c r="F8" s="8"/>
      <c r="G8" s="9" t="s">
        <v>14</v>
      </c>
      <c r="H8" s="9"/>
      <c r="I8" s="9"/>
      <c r="J8" s="8"/>
      <c r="K8" s="8"/>
      <c r="L8" s="8"/>
      <c r="M8" s="30"/>
      <c r="N8" s="14"/>
      <c r="O8" s="30"/>
      <c r="P8" s="14"/>
      <c r="Q8" s="1" t="s">
        <v>214</v>
      </c>
    </row>
    <row r="9" spans="2:20" ht="15.75" thickBot="1" x14ac:dyDescent="0.3">
      <c r="B9" s="322" t="s">
        <v>115</v>
      </c>
      <c r="C9" s="323"/>
      <c r="D9" s="323"/>
      <c r="E9" s="98">
        <f>cal!E9</f>
        <v>75</v>
      </c>
      <c r="F9" s="89"/>
      <c r="G9" s="325" t="str">
        <f>B9</f>
        <v>Supply water</v>
      </c>
      <c r="H9" s="325"/>
      <c r="I9" s="325"/>
      <c r="J9" s="325"/>
      <c r="K9" s="98">
        <f>cal!K9</f>
        <v>8</v>
      </c>
      <c r="L9" s="8"/>
      <c r="M9" s="311" t="s">
        <v>106</v>
      </c>
      <c r="N9" s="312"/>
      <c r="O9" s="8"/>
      <c r="P9" s="14"/>
      <c r="Q9" s="1" t="s">
        <v>215</v>
      </c>
    </row>
    <row r="10" spans="2:20" ht="15.75" thickTop="1" x14ac:dyDescent="0.25">
      <c r="B10" s="322" t="s">
        <v>116</v>
      </c>
      <c r="C10" s="323"/>
      <c r="D10" s="323"/>
      <c r="E10" s="98">
        <f>cal!E10</f>
        <v>65</v>
      </c>
      <c r="F10" s="89"/>
      <c r="G10" s="325" t="str">
        <f>B10</f>
        <v>Return water</v>
      </c>
      <c r="H10" s="325"/>
      <c r="I10" s="325"/>
      <c r="J10" s="325"/>
      <c r="K10" s="98">
        <f>cal!K10</f>
        <v>14</v>
      </c>
      <c r="L10" s="8"/>
      <c r="M10" s="8"/>
      <c r="N10" s="14"/>
      <c r="O10" s="8"/>
      <c r="P10" s="14"/>
    </row>
    <row r="11" spans="2:20" x14ac:dyDescent="0.25">
      <c r="B11" s="251" t="s">
        <v>117</v>
      </c>
      <c r="C11" s="252"/>
      <c r="D11" s="252"/>
      <c r="E11" s="98">
        <f>cal!E11</f>
        <v>20</v>
      </c>
      <c r="F11" s="89"/>
      <c r="G11" s="325" t="str">
        <f>B11</f>
        <v>Entering air</v>
      </c>
      <c r="H11" s="325"/>
      <c r="I11" s="325"/>
      <c r="J11" s="325"/>
      <c r="K11" s="98">
        <f>cal!K11</f>
        <v>25</v>
      </c>
      <c r="L11" s="8"/>
      <c r="M11" s="8"/>
      <c r="N11" s="14"/>
      <c r="O11" s="8"/>
      <c r="P11" s="14"/>
    </row>
    <row r="12" spans="2:20" x14ac:dyDescent="0.25">
      <c r="B12" s="15"/>
      <c r="C12" s="8"/>
      <c r="D12" s="8"/>
      <c r="E12" s="8"/>
      <c r="F12" s="8"/>
      <c r="G12" s="192" t="s">
        <v>118</v>
      </c>
      <c r="H12" s="8"/>
      <c r="I12" s="8"/>
      <c r="J12" s="8"/>
      <c r="K12" s="65">
        <f>cal!K12</f>
        <v>0.5</v>
      </c>
      <c r="L12" s="8"/>
      <c r="M12" s="8"/>
      <c r="N12" s="14"/>
      <c r="O12" s="8"/>
      <c r="P12" s="14"/>
    </row>
    <row r="13" spans="2:20" ht="6" customHeight="1" x14ac:dyDescent="0.25">
      <c r="B13" s="16"/>
      <c r="C13" s="17"/>
      <c r="D13" s="17"/>
      <c r="E13" s="17"/>
      <c r="F13" s="18"/>
      <c r="G13" s="18"/>
      <c r="H13" s="18"/>
      <c r="I13" s="18"/>
      <c r="J13" s="18"/>
      <c r="K13" s="18"/>
      <c r="L13" s="18"/>
      <c r="M13" s="18"/>
      <c r="N13" s="19"/>
      <c r="O13" s="18"/>
      <c r="P13" s="19"/>
    </row>
    <row r="14" spans="2:20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</row>
    <row r="15" spans="2:20" s="2" customFormat="1" ht="95.45" customHeight="1" x14ac:dyDescent="0.25">
      <c r="B15" s="27" t="s">
        <v>185</v>
      </c>
      <c r="C15" s="20" t="s">
        <v>15</v>
      </c>
      <c r="D15" s="27" t="str">
        <f>CONCATENATE("Heat output  ",ROUND(E9,0),"/",ROUND(E10,0),"/",ROUND(E11,0)," ["&amp;IF(cal!$W$4=1,"W",IF(cal!$W$4=2,"Btu/h"))&amp;"]")</f>
        <v>Heat output  75/65/20 [W]</v>
      </c>
      <c r="E15" s="31" t="str">
        <f>"Water flowrate, heating ["&amp;IF(cal!$W$4=1,"l/h",IF(cal!$W$4=2,"GPM"))&amp;"]"</f>
        <v>Water flowrate, heating [l/h]</v>
      </c>
      <c r="F15" s="34" t="str">
        <f>"Watersided pressure loss ["&amp;IF(cal!$W$4=1,"kPa",IF(cal!$W$4=2,"inH2O"))&amp;"]"</f>
        <v>Watersided pressure loss [kPa]</v>
      </c>
      <c r="G15" s="20" t="str">
        <f>CONCATENATE("Sens. cooling capacity  ",ROUND(K9,0),"/",ROUND(K10,0),"/",ROUND(K11,0)," ["&amp;IF(cal!$W$4=1,"W",IF(cal!$W$4=2,"Btu/h"))&amp;"]")</f>
        <v>Sens. cooling capacity  8/14/25 [W]</v>
      </c>
      <c r="H15" s="20" t="str">
        <f>CONCATENATE("Tot. cooling capacity ",ROUND(K9,0),"/",ROUND(K10,0),"/",ROUND(K11,0)," ["&amp;IF(cal!$W$4=1,"W",IF(cal!$W$4=2,"Btu/h"))&amp;"]")</f>
        <v>Tot. cooling capacity 8/14/25 [W]</v>
      </c>
      <c r="I15" s="20" t="str">
        <f>"Water flowrate, cooling ["&amp;IF(cal!$W$4=1,"l/h",IF(cal!$W$4=2,"GPM"))&amp;"]"</f>
        <v>Water flowrate, cooling [l/h]</v>
      </c>
      <c r="J15" s="21" t="str">
        <f>"Watersided pressure loss ["&amp;IF(cal!$W$4=1,"kPa",IF(cal!$W$4=2,"inH2O"))&amp;"]"</f>
        <v>Watersided pressure loss [kPa]</v>
      </c>
      <c r="K15" s="27" t="s">
        <v>47</v>
      </c>
      <c r="L15" s="33" t="s">
        <v>48</v>
      </c>
      <c r="M15" s="20" t="s">
        <v>16</v>
      </c>
      <c r="N15" s="26" t="str">
        <f>"Air flowrate ["&amp;IF(cal!$W$4=1,"m³/h",IF(cal!$W$4=2,"CFM"))&amp;"]"</f>
        <v>Air flowrate [m³/h]</v>
      </c>
      <c r="O15" s="20" t="str">
        <f>"Air exhaust temp. heating  ["&amp;IF(cal!$W$4=1,"°C",IF(cal!$W$4=2,"°F"))&amp;"]"</f>
        <v>Air exhaust temp. heating  [°C]</v>
      </c>
      <c r="P15" s="20" t="str">
        <f>"Air exhaust temp. cooling  ["&amp;IF(cal!$W$4=1,"°C",IF(cal!$W$4=2,"°F"))&amp;"]"</f>
        <v>Air exhaust temp. cooling  [°C]</v>
      </c>
    </row>
    <row r="16" spans="2:20" ht="18" customHeight="1" x14ac:dyDescent="0.25">
      <c r="B16" s="319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1)"</f>
        <v>Briza 12 height 41 cm width 14 cm length 75 cm (Type 1)</v>
      </c>
      <c r="C16" s="320"/>
      <c r="D16" s="319"/>
      <c r="E16" s="321"/>
      <c r="F16" s="320"/>
      <c r="G16" s="320"/>
      <c r="H16" s="320"/>
      <c r="I16" s="320"/>
      <c r="J16" s="320"/>
      <c r="K16" s="319"/>
      <c r="L16" s="320"/>
      <c r="M16" s="320"/>
      <c r="N16" s="321"/>
      <c r="R16" s="1" t="s">
        <v>93</v>
      </c>
      <c r="T16" s="197" t="s">
        <v>119</v>
      </c>
    </row>
    <row r="17" spans="2:20" x14ac:dyDescent="0.25">
      <c r="B17" s="35"/>
      <c r="C17" s="4"/>
      <c r="D17" s="28"/>
      <c r="E17" s="5"/>
      <c r="F17" s="32"/>
      <c r="G17" s="5"/>
      <c r="H17" s="5"/>
      <c r="I17" s="5"/>
      <c r="J17" s="6"/>
      <c r="K17" s="28"/>
      <c r="L17" s="44"/>
      <c r="M17" s="48"/>
      <c r="N17" s="36"/>
      <c r="O17" s="48"/>
      <c r="P17" s="36"/>
      <c r="R17" s="1" t="s">
        <v>96</v>
      </c>
      <c r="T17" s="197" t="s">
        <v>120</v>
      </c>
    </row>
    <row r="18" spans="2:20" x14ac:dyDescent="0.25">
      <c r="B18" s="35"/>
      <c r="C18" s="4"/>
      <c r="D18" s="28"/>
      <c r="E18" s="5"/>
      <c r="F18" s="32"/>
      <c r="G18" s="5"/>
      <c r="H18" s="5"/>
      <c r="I18" s="5"/>
      <c r="J18" s="6"/>
      <c r="K18" s="28"/>
      <c r="L18" s="44"/>
      <c r="M18" s="48"/>
      <c r="N18" s="36"/>
      <c r="O18" s="48"/>
      <c r="P18" s="36"/>
      <c r="R18" s="1" t="s">
        <v>97</v>
      </c>
      <c r="T18" s="197" t="s">
        <v>121</v>
      </c>
    </row>
    <row r="19" spans="2:20" x14ac:dyDescent="0.25">
      <c r="B19" s="35"/>
      <c r="C19" s="4"/>
      <c r="D19" s="28"/>
      <c r="E19" s="5"/>
      <c r="F19" s="32"/>
      <c r="G19" s="5"/>
      <c r="H19" s="5"/>
      <c r="I19" s="5"/>
      <c r="J19" s="6"/>
      <c r="K19" s="28"/>
      <c r="L19" s="44"/>
      <c r="M19" s="48"/>
      <c r="N19" s="36"/>
      <c r="O19" s="48"/>
      <c r="P19" s="36"/>
    </row>
    <row r="20" spans="2:20" x14ac:dyDescent="0.25">
      <c r="B20" s="35"/>
      <c r="C20" s="4"/>
      <c r="D20" s="28"/>
      <c r="E20" s="5"/>
      <c r="F20" s="32"/>
      <c r="G20" s="5"/>
      <c r="H20" s="5"/>
      <c r="I20" s="5"/>
      <c r="J20" s="6"/>
      <c r="K20" s="28"/>
      <c r="L20" s="44"/>
      <c r="M20" s="48"/>
      <c r="N20" s="36"/>
      <c r="O20" s="48"/>
      <c r="P20" s="36"/>
    </row>
    <row r="21" spans="2:20" x14ac:dyDescent="0.25">
      <c r="B21" s="35"/>
      <c r="C21" s="4"/>
      <c r="D21" s="28"/>
      <c r="E21" s="5"/>
      <c r="F21" s="32"/>
      <c r="G21" s="5"/>
      <c r="H21" s="5"/>
      <c r="I21" s="5"/>
      <c r="J21" s="6"/>
      <c r="K21" s="28"/>
      <c r="L21" s="44"/>
      <c r="M21" s="48"/>
      <c r="N21" s="36"/>
      <c r="O21" s="48"/>
      <c r="P21" s="36"/>
    </row>
    <row r="22" spans="2:20" ht="16.899999999999999" customHeight="1" x14ac:dyDescent="0.25">
      <c r="B22" s="319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2)"</f>
        <v>Briza 12 height 41 cm width 14 cm length 95 cm (Type 2)</v>
      </c>
      <c r="C22" s="320"/>
      <c r="D22" s="319"/>
      <c r="E22" s="321"/>
      <c r="F22" s="320"/>
      <c r="G22" s="320"/>
      <c r="H22" s="320"/>
      <c r="I22" s="320"/>
      <c r="J22" s="320"/>
      <c r="K22" s="319"/>
      <c r="L22" s="320"/>
      <c r="M22" s="320"/>
      <c r="N22" s="321"/>
    </row>
    <row r="23" spans="2:20" x14ac:dyDescent="0.25">
      <c r="B23" s="35"/>
      <c r="C23" s="4"/>
      <c r="D23" s="28"/>
      <c r="E23" s="5"/>
      <c r="F23" s="32"/>
      <c r="G23" s="5"/>
      <c r="H23" s="5"/>
      <c r="I23" s="5"/>
      <c r="J23" s="6"/>
      <c r="K23" s="28"/>
      <c r="L23" s="44"/>
      <c r="M23" s="48"/>
      <c r="N23" s="36"/>
      <c r="O23" s="48"/>
      <c r="P23" s="36"/>
    </row>
    <row r="24" spans="2:20" x14ac:dyDescent="0.25">
      <c r="B24" s="35"/>
      <c r="C24" s="4"/>
      <c r="D24" s="28"/>
      <c r="E24" s="5"/>
      <c r="F24" s="32"/>
      <c r="G24" s="5"/>
      <c r="H24" s="5"/>
      <c r="I24" s="5"/>
      <c r="J24" s="6"/>
      <c r="K24" s="28"/>
      <c r="L24" s="44"/>
      <c r="M24" s="48"/>
      <c r="N24" s="36"/>
      <c r="O24" s="48"/>
      <c r="P24" s="36"/>
    </row>
    <row r="25" spans="2:20" x14ac:dyDescent="0.25">
      <c r="B25" s="35"/>
      <c r="C25" s="4"/>
      <c r="D25" s="28"/>
      <c r="E25" s="5"/>
      <c r="F25" s="32"/>
      <c r="G25" s="5"/>
      <c r="H25" s="5"/>
      <c r="I25" s="5"/>
      <c r="J25" s="6"/>
      <c r="K25" s="28"/>
      <c r="L25" s="44"/>
      <c r="M25" s="48"/>
      <c r="N25" s="36"/>
      <c r="O25" s="48"/>
      <c r="P25" s="36"/>
    </row>
    <row r="26" spans="2:20" x14ac:dyDescent="0.25">
      <c r="B26" s="35"/>
      <c r="C26" s="4"/>
      <c r="D26" s="28"/>
      <c r="E26" s="5"/>
      <c r="F26" s="32"/>
      <c r="G26" s="5"/>
      <c r="H26" s="5"/>
      <c r="I26" s="5"/>
      <c r="J26" s="6"/>
      <c r="K26" s="28"/>
      <c r="L26" s="44"/>
      <c r="M26" s="48"/>
      <c r="N26" s="36"/>
      <c r="O26" s="48"/>
      <c r="P26" s="36"/>
    </row>
    <row r="27" spans="2:20" x14ac:dyDescent="0.25">
      <c r="B27" s="35"/>
      <c r="C27" s="4"/>
      <c r="D27" s="28"/>
      <c r="E27" s="5"/>
      <c r="F27" s="32"/>
      <c r="G27" s="5"/>
      <c r="H27" s="5"/>
      <c r="I27" s="5"/>
      <c r="J27" s="6"/>
      <c r="K27" s="28"/>
      <c r="L27" s="44"/>
      <c r="M27" s="48"/>
      <c r="N27" s="36"/>
      <c r="O27" s="48"/>
      <c r="P27" s="36"/>
    </row>
    <row r="28" spans="2:20" ht="18" customHeight="1" x14ac:dyDescent="0.25">
      <c r="B28" s="319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Briza 12 height 41 cm width 14 cm length 125 cm (Type 3)</v>
      </c>
      <c r="C28" s="320"/>
      <c r="D28" s="319"/>
      <c r="E28" s="321"/>
      <c r="F28" s="320"/>
      <c r="G28" s="320"/>
      <c r="H28" s="320"/>
      <c r="I28" s="320"/>
      <c r="J28" s="320"/>
      <c r="K28" s="319"/>
      <c r="L28" s="320"/>
      <c r="M28" s="320"/>
      <c r="N28" s="321"/>
    </row>
    <row r="29" spans="2:20" x14ac:dyDescent="0.25">
      <c r="B29" s="35"/>
      <c r="C29" s="4"/>
      <c r="D29" s="28"/>
      <c r="E29" s="5"/>
      <c r="F29" s="32"/>
      <c r="G29" s="5"/>
      <c r="H29" s="5"/>
      <c r="I29" s="5"/>
      <c r="J29" s="6"/>
      <c r="K29" s="28"/>
      <c r="L29" s="44"/>
      <c r="M29" s="48"/>
      <c r="N29" s="36"/>
      <c r="O29" s="48"/>
      <c r="P29" s="36"/>
    </row>
    <row r="30" spans="2:20" x14ac:dyDescent="0.25">
      <c r="B30" s="35"/>
      <c r="C30" s="4"/>
      <c r="D30" s="28"/>
      <c r="E30" s="5"/>
      <c r="F30" s="32"/>
      <c r="G30" s="5"/>
      <c r="H30" s="5"/>
      <c r="I30" s="5"/>
      <c r="J30" s="6"/>
      <c r="K30" s="28"/>
      <c r="L30" s="44"/>
      <c r="M30" s="48"/>
      <c r="N30" s="36"/>
      <c r="O30" s="48"/>
      <c r="P30" s="36"/>
    </row>
    <row r="31" spans="2:20" x14ac:dyDescent="0.25">
      <c r="B31" s="35"/>
      <c r="C31" s="4"/>
      <c r="D31" s="28"/>
      <c r="E31" s="5"/>
      <c r="F31" s="32"/>
      <c r="G31" s="5"/>
      <c r="H31" s="5"/>
      <c r="I31" s="5"/>
      <c r="J31" s="6"/>
      <c r="K31" s="28"/>
      <c r="L31" s="44"/>
      <c r="M31" s="48"/>
      <c r="N31" s="36"/>
      <c r="O31" s="48"/>
      <c r="P31" s="36"/>
    </row>
    <row r="32" spans="2:20" x14ac:dyDescent="0.25">
      <c r="B32" s="35"/>
      <c r="C32" s="4"/>
      <c r="D32" s="28"/>
      <c r="E32" s="5"/>
      <c r="F32" s="32"/>
      <c r="G32" s="5"/>
      <c r="H32" s="5"/>
      <c r="I32" s="5"/>
      <c r="J32" s="6"/>
      <c r="K32" s="28"/>
      <c r="L32" s="44"/>
      <c r="M32" s="48"/>
      <c r="N32" s="36"/>
      <c r="O32" s="48"/>
      <c r="P32" s="36"/>
    </row>
    <row r="33" spans="2:16" x14ac:dyDescent="0.25">
      <c r="B33" s="35"/>
      <c r="C33" s="4"/>
      <c r="D33" s="28"/>
      <c r="E33" s="5"/>
      <c r="F33" s="32"/>
      <c r="G33" s="5"/>
      <c r="H33" s="5"/>
      <c r="I33" s="5"/>
      <c r="J33" s="6"/>
      <c r="K33" s="28"/>
      <c r="L33" s="44"/>
      <c r="M33" s="48"/>
      <c r="N33" s="36"/>
      <c r="O33" s="48"/>
      <c r="P33" s="36"/>
    </row>
    <row r="34" spans="2:16" ht="16.899999999999999" customHeight="1" x14ac:dyDescent="0.25">
      <c r="B34" s="319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Briza 12 height 41 cm width 14 cm length 145 cm (Type 4)</v>
      </c>
      <c r="C34" s="320"/>
      <c r="D34" s="319"/>
      <c r="E34" s="321"/>
      <c r="F34" s="320"/>
      <c r="G34" s="320"/>
      <c r="H34" s="320"/>
      <c r="I34" s="320"/>
      <c r="J34" s="320"/>
      <c r="K34" s="319"/>
      <c r="L34" s="320"/>
      <c r="M34" s="320"/>
      <c r="N34" s="321"/>
    </row>
    <row r="35" spans="2:16" x14ac:dyDescent="0.25">
      <c r="B35" s="35"/>
      <c r="C35" s="4"/>
      <c r="D35" s="28"/>
      <c r="E35" s="5"/>
      <c r="F35" s="32"/>
      <c r="G35" s="5"/>
      <c r="H35" s="5"/>
      <c r="I35" s="5"/>
      <c r="J35" s="6"/>
      <c r="K35" s="28"/>
      <c r="L35" s="44"/>
      <c r="M35" s="48"/>
      <c r="N35" s="36"/>
      <c r="O35" s="48"/>
      <c r="P35" s="36"/>
    </row>
    <row r="36" spans="2:16" x14ac:dyDescent="0.25">
      <c r="B36" s="35"/>
      <c r="C36" s="4"/>
      <c r="D36" s="28"/>
      <c r="E36" s="5"/>
      <c r="F36" s="32"/>
      <c r="G36" s="5"/>
      <c r="H36" s="5"/>
      <c r="I36" s="5"/>
      <c r="J36" s="6"/>
      <c r="K36" s="28"/>
      <c r="L36" s="44"/>
      <c r="M36" s="48"/>
      <c r="N36" s="36"/>
      <c r="O36" s="48"/>
      <c r="P36" s="36"/>
    </row>
    <row r="37" spans="2:16" x14ac:dyDescent="0.25">
      <c r="B37" s="35"/>
      <c r="C37" s="4"/>
      <c r="D37" s="28"/>
      <c r="E37" s="5"/>
      <c r="F37" s="32"/>
      <c r="G37" s="5"/>
      <c r="H37" s="5"/>
      <c r="I37" s="5"/>
      <c r="J37" s="6"/>
      <c r="K37" s="28"/>
      <c r="L37" s="44"/>
      <c r="M37" s="48"/>
      <c r="N37" s="36"/>
      <c r="O37" s="48"/>
      <c r="P37" s="36"/>
    </row>
    <row r="38" spans="2:16" x14ac:dyDescent="0.25">
      <c r="B38" s="35"/>
      <c r="C38" s="4"/>
      <c r="D38" s="28"/>
      <c r="E38" s="5"/>
      <c r="F38" s="32"/>
      <c r="G38" s="5"/>
      <c r="H38" s="5"/>
      <c r="I38" s="5"/>
      <c r="J38" s="6"/>
      <c r="K38" s="28"/>
      <c r="L38" s="44"/>
      <c r="M38" s="48"/>
      <c r="N38" s="36"/>
      <c r="O38" s="48"/>
      <c r="P38" s="36"/>
    </row>
    <row r="39" spans="2:16" x14ac:dyDescent="0.25">
      <c r="B39" s="37"/>
      <c r="C39" s="38"/>
      <c r="D39" s="39"/>
      <c r="E39" s="40"/>
      <c r="F39" s="41"/>
      <c r="G39" s="40"/>
      <c r="H39" s="40"/>
      <c r="I39" s="40"/>
      <c r="J39" s="42"/>
      <c r="K39" s="39"/>
      <c r="L39" s="45"/>
      <c r="M39" s="48"/>
      <c r="N39" s="43"/>
      <c r="O39" s="48"/>
      <c r="P39" s="43"/>
    </row>
    <row r="40" spans="2:16" ht="9.4" customHeight="1" x14ac:dyDescent="0.25">
      <c r="B40" s="7" t="s">
        <v>53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49"/>
      <c r="N40" s="47" t="str">
        <f>cal!P40</f>
        <v>v2021-04-26</v>
      </c>
      <c r="O40" s="49"/>
      <c r="P40" s="47"/>
    </row>
    <row r="41" spans="2:16" ht="9.4" customHeight="1" x14ac:dyDescent="0.25">
      <c r="B41" s="7" t="s">
        <v>54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2:16" ht="9.4" customHeight="1" x14ac:dyDescent="0.25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2:16" s="3" customFormat="1" ht="16.149999999999999" hidden="1" customHeight="1" x14ac:dyDescent="0.25"/>
    <row r="44" spans="2:16" x14ac:dyDescent="0.25"/>
    <row r="45" spans="2:16" x14ac:dyDescent="0.25"/>
    <row r="46" spans="2:16" x14ac:dyDescent="0.25"/>
    <row r="47" spans="2:16" x14ac:dyDescent="0.25"/>
    <row r="48" spans="2:16" x14ac:dyDescent="0.25"/>
    <row r="49" x14ac:dyDescent="0.25"/>
  </sheetData>
  <sheetProtection selectLockedCells="1"/>
  <mergeCells count="12">
    <mergeCell ref="H4:K4"/>
    <mergeCell ref="H5:K5"/>
    <mergeCell ref="B16:N16"/>
    <mergeCell ref="B22:N22"/>
    <mergeCell ref="B28:N28"/>
    <mergeCell ref="M9:N9"/>
    <mergeCell ref="B34:N34"/>
    <mergeCell ref="B9:D9"/>
    <mergeCell ref="G9:J9"/>
    <mergeCell ref="B10:D10"/>
    <mergeCell ref="G10:J10"/>
    <mergeCell ref="G11:J11"/>
  </mergeCells>
  <dataValidations count="7">
    <dataValidation type="whole" errorStyle="information" allowBlank="1" showErrorMessage="1" error="Eingabe außerhalb des gültigen Bereichs." prompt="20°C bis 35°C" sqref="K11">
      <formula1>20</formula1>
      <formula2>35</formula2>
    </dataValidation>
    <dataValidation type="whole" errorStyle="information" allowBlank="1" showErrorMessage="1" error="Eingabe außerhalb des gültigen Bereichs." prompt="Eingabe zwischen 16°C bis 30°C" sqref="E11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E10">
      <formula1>E11</formula1>
      <formula2>E9</formula2>
    </dataValidation>
    <dataValidation type="whole" errorStyle="information" allowBlank="1" showErrorMessage="1" error="Temperatur außerhalb des gütligen Bereichs." prompt="Eingabe zwischen 30°C bis 95°C" sqref="E9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K10">
      <formula1>K9</formula1>
      <formula2>K11</formula2>
    </dataValidation>
    <dataValidation type="whole" errorStyle="information" allowBlank="1" showErrorMessage="1" error="Eingabe außerhalb des gültigen Bereichs." prompt="Eingabe zwischen 5°C bis 20°C" sqref="K9">
      <formula1>5</formula1>
      <formula2>20</formula2>
    </dataValidation>
    <dataValidation type="decimal" errorStyle="information" allowBlank="1" showErrorMessage="1" error="Eingabe außerhalb des gültigen Bereichs." prompt="20°C bis 35°C" sqref="K12">
      <formula1>0.01</formula1>
      <formula2>1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/>
  <dimension ref="B1:T49"/>
  <sheetViews>
    <sheetView workbookViewId="0">
      <selection activeCell="K2" sqref="K2:L2"/>
    </sheetView>
  </sheetViews>
  <sheetFormatPr defaultColWidth="5.7109375" defaultRowHeight="15" zeroHeight="1" x14ac:dyDescent="0.25"/>
  <cols>
    <col min="1" max="1" width="5.7109375" style="1"/>
    <col min="2" max="2" width="7" style="1" customWidth="1"/>
    <col min="3" max="3" width="6.140625" style="1" customWidth="1"/>
    <col min="4" max="4" width="7" style="1" customWidth="1"/>
    <col min="5" max="5" width="6.7109375" style="1" customWidth="1"/>
    <col min="6" max="16" width="7" style="1" customWidth="1"/>
    <col min="17" max="16384" width="5.7109375" style="1"/>
  </cols>
  <sheetData>
    <row r="1" spans="2:20" x14ac:dyDescent="0.25"/>
    <row r="2" spans="2:20" s="3" customFormat="1" x14ac:dyDescent="0.25">
      <c r="B2" s="22"/>
    </row>
    <row r="3" spans="2:20" s="3" customFormat="1" x14ac:dyDescent="0.25">
      <c r="B3" s="24" t="s">
        <v>1</v>
      </c>
      <c r="C3" s="23"/>
    </row>
    <row r="4" spans="2:20" s="3" customFormat="1" x14ac:dyDescent="0.25">
      <c r="B4" s="22"/>
      <c r="H4" s="326" t="s">
        <v>86</v>
      </c>
      <c r="I4" s="327"/>
      <c r="J4" s="327"/>
      <c r="K4" s="328"/>
    </row>
    <row r="5" spans="2:20" s="3" customFormat="1" x14ac:dyDescent="0.25">
      <c r="B5" s="29" t="s">
        <v>3</v>
      </c>
      <c r="H5" s="326" t="s">
        <v>87</v>
      </c>
      <c r="I5" s="327">
        <v>0</v>
      </c>
      <c r="J5" s="327">
        <v>0</v>
      </c>
      <c r="K5" s="328">
        <v>0</v>
      </c>
    </row>
    <row r="6" spans="2:20" s="3" customFormat="1" ht="6" customHeigh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1"/>
      <c r="P6" s="12"/>
    </row>
    <row r="7" spans="2:20" x14ac:dyDescent="0.25">
      <c r="B7" s="13" t="s">
        <v>2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14"/>
      <c r="O7" s="8"/>
      <c r="P7" s="14"/>
      <c r="Q7" s="1" t="s">
        <v>210</v>
      </c>
    </row>
    <row r="8" spans="2:20" x14ac:dyDescent="0.25">
      <c r="B8" s="176" t="s">
        <v>0</v>
      </c>
      <c r="C8" s="192"/>
      <c r="D8" s="192"/>
      <c r="E8" s="8"/>
      <c r="F8" s="8"/>
      <c r="G8" s="9" t="s">
        <v>5</v>
      </c>
      <c r="H8" s="9"/>
      <c r="I8" s="9"/>
      <c r="J8" s="8"/>
      <c r="K8" s="8"/>
      <c r="L8" s="8"/>
      <c r="M8" s="30"/>
      <c r="N8" s="14"/>
      <c r="O8" s="30"/>
      <c r="P8" s="14"/>
      <c r="Q8" s="1" t="s">
        <v>211</v>
      </c>
    </row>
    <row r="9" spans="2:20" ht="15.75" thickBot="1" x14ac:dyDescent="0.3">
      <c r="B9" s="322" t="str">
        <f>"Vorlauf wasser"</f>
        <v>Vorlauf wasser</v>
      </c>
      <c r="C9" s="323"/>
      <c r="D9" s="323"/>
      <c r="E9" s="98">
        <f>cal!E9</f>
        <v>75</v>
      </c>
      <c r="F9" s="89"/>
      <c r="G9" s="325" t="str">
        <f>B9</f>
        <v>Vorlauf wasser</v>
      </c>
      <c r="H9" s="325"/>
      <c r="I9" s="325"/>
      <c r="J9" s="325"/>
      <c r="K9" s="98">
        <f>cal!K9</f>
        <v>8</v>
      </c>
      <c r="L9" s="8"/>
      <c r="M9" s="311" t="s">
        <v>107</v>
      </c>
      <c r="N9" s="312"/>
      <c r="O9" s="8"/>
      <c r="P9" s="14"/>
      <c r="Q9" s="1" t="s">
        <v>212</v>
      </c>
    </row>
    <row r="10" spans="2:20" ht="15.75" thickTop="1" x14ac:dyDescent="0.25">
      <c r="B10" s="322" t="str">
        <f>"Rücklauf wasser"</f>
        <v>Rücklauf wasser</v>
      </c>
      <c r="C10" s="323"/>
      <c r="D10" s="323"/>
      <c r="E10" s="98">
        <f>cal!E10</f>
        <v>65</v>
      </c>
      <c r="F10" s="89"/>
      <c r="G10" s="325" t="str">
        <f>B10</f>
        <v>Rücklauf wasser</v>
      </c>
      <c r="H10" s="325"/>
      <c r="I10" s="325"/>
      <c r="J10" s="325"/>
      <c r="K10" s="98">
        <f>cal!K10</f>
        <v>14</v>
      </c>
      <c r="L10" s="8"/>
      <c r="M10" s="8"/>
      <c r="N10" s="14"/>
      <c r="O10" s="8"/>
      <c r="P10" s="14"/>
    </row>
    <row r="11" spans="2:20" x14ac:dyDescent="0.25">
      <c r="B11" s="322" t="str">
        <f>"Raum"</f>
        <v>Raum</v>
      </c>
      <c r="C11" s="323"/>
      <c r="D11" s="323"/>
      <c r="E11" s="98">
        <f>cal!E11</f>
        <v>20</v>
      </c>
      <c r="F11" s="89"/>
      <c r="G11" s="325" t="str">
        <f>B11</f>
        <v>Raum</v>
      </c>
      <c r="H11" s="325"/>
      <c r="I11" s="325"/>
      <c r="J11" s="325"/>
      <c r="K11" s="98">
        <f>cal!K11</f>
        <v>25</v>
      </c>
      <c r="L11" s="8"/>
      <c r="M11" s="8"/>
      <c r="N11" s="14"/>
      <c r="O11" s="8"/>
      <c r="P11" s="14"/>
    </row>
    <row r="12" spans="2:20" x14ac:dyDescent="0.25">
      <c r="B12" s="15"/>
      <c r="C12" s="8"/>
      <c r="D12" s="8"/>
      <c r="E12" s="8"/>
      <c r="F12" s="8"/>
      <c r="G12" s="192" t="s">
        <v>122</v>
      </c>
      <c r="H12" s="8"/>
      <c r="I12" s="8"/>
      <c r="J12" s="8"/>
      <c r="K12" s="65">
        <f>cal!K12</f>
        <v>0.5</v>
      </c>
      <c r="L12" s="8"/>
      <c r="M12" s="8"/>
      <c r="N12" s="14"/>
      <c r="O12" s="8"/>
      <c r="P12" s="14"/>
    </row>
    <row r="13" spans="2:20" ht="6" customHeight="1" x14ac:dyDescent="0.25">
      <c r="B13" s="16"/>
      <c r="C13" s="17"/>
      <c r="D13" s="17"/>
      <c r="E13" s="17"/>
      <c r="F13" s="18"/>
      <c r="G13" s="18"/>
      <c r="H13" s="18"/>
      <c r="I13" s="18"/>
      <c r="J13" s="18"/>
      <c r="K13" s="18"/>
      <c r="L13" s="18"/>
      <c r="M13" s="18"/>
      <c r="N13" s="19"/>
      <c r="O13" s="18"/>
      <c r="P13" s="19"/>
    </row>
    <row r="14" spans="2:20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</row>
    <row r="15" spans="2:20" s="2" customFormat="1" ht="95.45" customHeight="1" x14ac:dyDescent="0.25">
      <c r="B15" s="27" t="s">
        <v>183</v>
      </c>
      <c r="C15" s="20" t="s">
        <v>181</v>
      </c>
      <c r="D15" s="27" t="str">
        <f>CONCATENATE("Wärmeleistung  ",ROUND(E9,0),"/",ROUND(E10,0),"/",ROUND(E11,0)," ["&amp;IF(cal!$W$4=1,"W",IF(cal!$W$4=2,"Btu/h"))&amp;"]")</f>
        <v>Wärmeleistung  75/65/20 [W]</v>
      </c>
      <c r="E15" s="31" t="str">
        <f>"Heizmittelstrom ["&amp;IF(cal!$W$4=1,"l/h",IF(cal!$W$4=2,"GPM"))&amp;"]"</f>
        <v>Heizmittelstrom [l/h]</v>
      </c>
      <c r="F15" s="34" t="str">
        <f>"zug. wassers. Druckverlust ["&amp;IF(cal!$W$4=1,"kPa",IF(cal!$W$4=2,"inH2O"))&amp;"]"</f>
        <v>zug. wassers. Druckverlust [kPa]</v>
      </c>
      <c r="G15" s="20" t="str">
        <f>CONCATENATE("Sens. Kälteleistung  ",ROUND(K9,0),"/",ROUND(K10,0),"/",ROUND(K11,0)," ["&amp;IF(cal!$W$4=1,"W",IF(cal!$W$4=2,"Btu/h"))&amp;"]")</f>
        <v>Sens. Kälteleistung  8/14/25 [W]</v>
      </c>
      <c r="H15" s="20" t="str">
        <f>CONCATENATE("Tot. Kälteleistung ",ROUND(K9,0),"/",ROUND(K10,0),"/",ROUND(K11,0)," ["&amp;IF(cal!$W$4=1,"W",IF(cal!$W$4=2,"Btu/h"))&amp;"]")</f>
        <v>Tot. Kälteleistung 8/14/25 [W]</v>
      </c>
      <c r="I15" s="20" t="str">
        <f>"Kühlmittelstrom ["&amp;IF(cal!$W$4=1,"l/h",IF(cal!$W$4=2,"GPM"))&amp;"]"</f>
        <v>Kühlmittelstrom [l/h]</v>
      </c>
      <c r="J15" s="21" t="str">
        <f>"zug. wassers. Druckverlust ["&amp;IF(cal!$W$4=1,"kPa",IF(cal!$W$4=2,"inH2O"))&amp;"]"</f>
        <v>zug. wassers. Druckverlust [kPa]</v>
      </c>
      <c r="K15" s="27" t="s">
        <v>46</v>
      </c>
      <c r="L15" s="33" t="s">
        <v>45</v>
      </c>
      <c r="M15" s="20" t="s">
        <v>4</v>
      </c>
      <c r="N15" s="26" t="str">
        <f>"Luftvolumenstrom ["&amp;IF(cal!$W$4=1,"m³/h",IF(cal!$W$4=2,"CFM"))&amp;"]"</f>
        <v>Luftvolumenstrom [m³/h]</v>
      </c>
      <c r="O15" s="20" t="str">
        <f>"Luftaustrittstemp. Heizung  ["&amp;IF(cal!$W$4=1,"°C",IF(cal!$W$4=2,"°F"))&amp;"]"</f>
        <v>Luftaustrittstemp. Heizung  [°C]</v>
      </c>
      <c r="P15" s="20" t="str">
        <f>"Luftaustrittstemp. Kühlung  ["&amp;IF(cal!$W$4=1,"°C",IF(cal!$W$4=2,"°F"))&amp;"]"</f>
        <v>Luftaustrittstemp. Kühlung  [°C]</v>
      </c>
    </row>
    <row r="16" spans="2:20" ht="18" customHeight="1" x14ac:dyDescent="0.25">
      <c r="B16" s="319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1)"</f>
        <v>Briza 12 höhe 41 cm breite 14 cm länge 75 cm (Type 1)</v>
      </c>
      <c r="C16" s="320"/>
      <c r="D16" s="319"/>
      <c r="E16" s="321"/>
      <c r="F16" s="320"/>
      <c r="G16" s="320"/>
      <c r="H16" s="320"/>
      <c r="I16" s="320"/>
      <c r="J16" s="320"/>
      <c r="K16" s="319"/>
      <c r="L16" s="320"/>
      <c r="M16" s="320"/>
      <c r="N16" s="321"/>
      <c r="R16" s="1" t="s">
        <v>93</v>
      </c>
      <c r="T16" s="197" t="s">
        <v>123</v>
      </c>
    </row>
    <row r="17" spans="2:20" x14ac:dyDescent="0.25">
      <c r="B17" s="35"/>
      <c r="C17" s="4"/>
      <c r="D17" s="28"/>
      <c r="E17" s="5"/>
      <c r="F17" s="32"/>
      <c r="G17" s="5"/>
      <c r="H17" s="5"/>
      <c r="I17" s="5"/>
      <c r="J17" s="6"/>
      <c r="K17" s="28"/>
      <c r="L17" s="44"/>
      <c r="M17" s="48"/>
      <c r="N17" s="36"/>
      <c r="O17" s="48"/>
      <c r="P17" s="36"/>
      <c r="R17" s="1" t="s">
        <v>98</v>
      </c>
      <c r="T17" s="197" t="s">
        <v>124</v>
      </c>
    </row>
    <row r="18" spans="2:20" x14ac:dyDescent="0.25">
      <c r="B18" s="35"/>
      <c r="C18" s="4"/>
      <c r="D18" s="28"/>
      <c r="E18" s="5"/>
      <c r="F18" s="32"/>
      <c r="G18" s="5"/>
      <c r="H18" s="5"/>
      <c r="I18" s="5"/>
      <c r="J18" s="6"/>
      <c r="K18" s="28"/>
      <c r="L18" s="44"/>
      <c r="M18" s="48"/>
      <c r="N18" s="36"/>
      <c r="O18" s="48"/>
      <c r="P18" s="36"/>
      <c r="R18" s="1" t="s">
        <v>99</v>
      </c>
      <c r="T18" s="197" t="s">
        <v>125</v>
      </c>
    </row>
    <row r="19" spans="2:20" x14ac:dyDescent="0.25">
      <c r="B19" s="35"/>
      <c r="C19" s="4"/>
      <c r="D19" s="28"/>
      <c r="E19" s="5"/>
      <c r="F19" s="32"/>
      <c r="G19" s="5"/>
      <c r="H19" s="5"/>
      <c r="I19" s="5"/>
      <c r="J19" s="6"/>
      <c r="K19" s="28"/>
      <c r="L19" s="44"/>
      <c r="M19" s="48"/>
      <c r="N19" s="36"/>
      <c r="O19" s="48"/>
      <c r="P19" s="36"/>
      <c r="T19" s="197"/>
    </row>
    <row r="20" spans="2:20" x14ac:dyDescent="0.25">
      <c r="B20" s="35"/>
      <c r="C20" s="4"/>
      <c r="D20" s="28"/>
      <c r="E20" s="5"/>
      <c r="F20" s="32"/>
      <c r="G20" s="5"/>
      <c r="H20" s="5"/>
      <c r="I20" s="5"/>
      <c r="J20" s="6"/>
      <c r="K20" s="28"/>
      <c r="L20" s="44"/>
      <c r="M20" s="48"/>
      <c r="N20" s="36"/>
      <c r="O20" s="48"/>
      <c r="P20" s="36"/>
    </row>
    <row r="21" spans="2:20" x14ac:dyDescent="0.25">
      <c r="B21" s="35"/>
      <c r="C21" s="4"/>
      <c r="D21" s="28"/>
      <c r="E21" s="5"/>
      <c r="F21" s="32"/>
      <c r="G21" s="5"/>
      <c r="H21" s="5"/>
      <c r="I21" s="5"/>
      <c r="J21" s="6"/>
      <c r="K21" s="28"/>
      <c r="L21" s="44"/>
      <c r="M21" s="48"/>
      <c r="N21" s="36"/>
      <c r="O21" s="48"/>
      <c r="P21" s="36"/>
    </row>
    <row r="22" spans="2:20" ht="16.899999999999999" customHeight="1" x14ac:dyDescent="0.25">
      <c r="B22" s="319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2)"</f>
        <v>Briza 12 höhe 41 cm breite 14 cm länge 95 cm (Type 2)</v>
      </c>
      <c r="C22" s="320"/>
      <c r="D22" s="319"/>
      <c r="E22" s="321"/>
      <c r="F22" s="320"/>
      <c r="G22" s="320"/>
      <c r="H22" s="320"/>
      <c r="I22" s="320"/>
      <c r="J22" s="320"/>
      <c r="K22" s="319"/>
      <c r="L22" s="320"/>
      <c r="M22" s="320"/>
      <c r="N22" s="321"/>
    </row>
    <row r="23" spans="2:20" x14ac:dyDescent="0.25">
      <c r="B23" s="35"/>
      <c r="C23" s="4"/>
      <c r="D23" s="28"/>
      <c r="E23" s="5"/>
      <c r="F23" s="32"/>
      <c r="G23" s="5"/>
      <c r="H23" s="5"/>
      <c r="I23" s="5"/>
      <c r="J23" s="6"/>
      <c r="K23" s="28"/>
      <c r="L23" s="44"/>
      <c r="M23" s="48"/>
      <c r="N23" s="36"/>
      <c r="O23" s="48"/>
      <c r="P23" s="36"/>
    </row>
    <row r="24" spans="2:20" x14ac:dyDescent="0.25">
      <c r="B24" s="35"/>
      <c r="C24" s="4"/>
      <c r="D24" s="28"/>
      <c r="E24" s="5"/>
      <c r="F24" s="32"/>
      <c r="G24" s="5"/>
      <c r="H24" s="5"/>
      <c r="I24" s="5"/>
      <c r="J24" s="6"/>
      <c r="K24" s="28"/>
      <c r="L24" s="44"/>
      <c r="M24" s="48"/>
      <c r="N24" s="36"/>
      <c r="O24" s="48"/>
      <c r="P24" s="36"/>
    </row>
    <row r="25" spans="2:20" x14ac:dyDescent="0.25">
      <c r="B25" s="35"/>
      <c r="C25" s="4"/>
      <c r="D25" s="28"/>
      <c r="E25" s="5"/>
      <c r="F25" s="32"/>
      <c r="G25" s="5"/>
      <c r="H25" s="5"/>
      <c r="I25" s="5"/>
      <c r="J25" s="6"/>
      <c r="K25" s="28"/>
      <c r="L25" s="44"/>
      <c r="M25" s="48"/>
      <c r="N25" s="36"/>
      <c r="O25" s="48"/>
      <c r="P25" s="36"/>
    </row>
    <row r="26" spans="2:20" x14ac:dyDescent="0.25">
      <c r="B26" s="35"/>
      <c r="C26" s="4"/>
      <c r="D26" s="28"/>
      <c r="E26" s="5"/>
      <c r="F26" s="32"/>
      <c r="G26" s="5"/>
      <c r="H26" s="5"/>
      <c r="I26" s="5"/>
      <c r="J26" s="6"/>
      <c r="K26" s="28"/>
      <c r="L26" s="44"/>
      <c r="M26" s="48"/>
      <c r="N26" s="36"/>
      <c r="O26" s="48"/>
      <c r="P26" s="36"/>
    </row>
    <row r="27" spans="2:20" x14ac:dyDescent="0.25">
      <c r="B27" s="35"/>
      <c r="C27" s="4"/>
      <c r="D27" s="28"/>
      <c r="E27" s="5"/>
      <c r="F27" s="32"/>
      <c r="G27" s="5"/>
      <c r="H27" s="5"/>
      <c r="I27" s="5"/>
      <c r="J27" s="6"/>
      <c r="K27" s="28"/>
      <c r="L27" s="44"/>
      <c r="M27" s="48"/>
      <c r="N27" s="36"/>
      <c r="O27" s="48"/>
      <c r="P27" s="36"/>
    </row>
    <row r="28" spans="2:20" ht="18" customHeight="1" x14ac:dyDescent="0.25">
      <c r="B28" s="319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Briza 12 höhe 41 cm breite 14 cm länge 125 cm (Type 3)</v>
      </c>
      <c r="C28" s="320"/>
      <c r="D28" s="319"/>
      <c r="E28" s="321"/>
      <c r="F28" s="320"/>
      <c r="G28" s="320"/>
      <c r="H28" s="320"/>
      <c r="I28" s="320"/>
      <c r="J28" s="320"/>
      <c r="K28" s="319"/>
      <c r="L28" s="320"/>
      <c r="M28" s="320"/>
      <c r="N28" s="321"/>
    </row>
    <row r="29" spans="2:20" x14ac:dyDescent="0.25">
      <c r="B29" s="35"/>
      <c r="C29" s="4"/>
      <c r="D29" s="28"/>
      <c r="E29" s="5"/>
      <c r="F29" s="32"/>
      <c r="G29" s="5"/>
      <c r="H29" s="5"/>
      <c r="I29" s="5"/>
      <c r="J29" s="6"/>
      <c r="K29" s="28"/>
      <c r="L29" s="44"/>
      <c r="M29" s="48"/>
      <c r="N29" s="36"/>
      <c r="O29" s="48"/>
      <c r="P29" s="36"/>
    </row>
    <row r="30" spans="2:20" x14ac:dyDescent="0.25">
      <c r="B30" s="35"/>
      <c r="C30" s="4"/>
      <c r="D30" s="28"/>
      <c r="E30" s="5"/>
      <c r="F30" s="32"/>
      <c r="G30" s="5"/>
      <c r="H30" s="5"/>
      <c r="I30" s="5"/>
      <c r="J30" s="6"/>
      <c r="K30" s="28"/>
      <c r="L30" s="44"/>
      <c r="M30" s="48"/>
      <c r="N30" s="36"/>
      <c r="O30" s="48"/>
      <c r="P30" s="36"/>
    </row>
    <row r="31" spans="2:20" x14ac:dyDescent="0.25">
      <c r="B31" s="35"/>
      <c r="C31" s="4"/>
      <c r="D31" s="28"/>
      <c r="E31" s="5"/>
      <c r="F31" s="32"/>
      <c r="G31" s="5"/>
      <c r="H31" s="5"/>
      <c r="I31" s="5"/>
      <c r="J31" s="6"/>
      <c r="K31" s="28"/>
      <c r="L31" s="44"/>
      <c r="M31" s="48"/>
      <c r="N31" s="36"/>
      <c r="O31" s="48"/>
      <c r="P31" s="36"/>
    </row>
    <row r="32" spans="2:20" x14ac:dyDescent="0.25">
      <c r="B32" s="35"/>
      <c r="C32" s="4"/>
      <c r="D32" s="28"/>
      <c r="E32" s="5"/>
      <c r="F32" s="32"/>
      <c r="G32" s="5"/>
      <c r="H32" s="5"/>
      <c r="I32" s="5"/>
      <c r="J32" s="6"/>
      <c r="K32" s="28"/>
      <c r="L32" s="44"/>
      <c r="M32" s="48"/>
      <c r="N32" s="36"/>
      <c r="O32" s="48"/>
      <c r="P32" s="36"/>
    </row>
    <row r="33" spans="2:16" x14ac:dyDescent="0.25">
      <c r="B33" s="35"/>
      <c r="C33" s="4"/>
      <c r="D33" s="28"/>
      <c r="E33" s="5"/>
      <c r="F33" s="32"/>
      <c r="G33" s="5"/>
      <c r="H33" s="5"/>
      <c r="I33" s="5"/>
      <c r="J33" s="6"/>
      <c r="K33" s="28"/>
      <c r="L33" s="44"/>
      <c r="M33" s="48"/>
      <c r="N33" s="36"/>
      <c r="O33" s="48"/>
      <c r="P33" s="36"/>
    </row>
    <row r="34" spans="2:16" ht="16.899999999999999" customHeight="1" x14ac:dyDescent="0.25">
      <c r="B34" s="319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Briza 12 höhe 41 cm breite 14 cm länge 145 cm (Type 4)</v>
      </c>
      <c r="C34" s="320"/>
      <c r="D34" s="319"/>
      <c r="E34" s="321"/>
      <c r="F34" s="320"/>
      <c r="G34" s="320"/>
      <c r="H34" s="320"/>
      <c r="I34" s="320"/>
      <c r="J34" s="320"/>
      <c r="K34" s="319"/>
      <c r="L34" s="320"/>
      <c r="M34" s="320"/>
      <c r="N34" s="321"/>
    </row>
    <row r="35" spans="2:16" x14ac:dyDescent="0.25">
      <c r="B35" s="35"/>
      <c r="C35" s="4"/>
      <c r="D35" s="28"/>
      <c r="E35" s="5"/>
      <c r="F35" s="32"/>
      <c r="G35" s="5"/>
      <c r="H35" s="5"/>
      <c r="I35" s="5"/>
      <c r="J35" s="6"/>
      <c r="K35" s="28"/>
      <c r="L35" s="44"/>
      <c r="M35" s="48"/>
      <c r="N35" s="36"/>
      <c r="O35" s="48"/>
      <c r="P35" s="36"/>
    </row>
    <row r="36" spans="2:16" x14ac:dyDescent="0.25">
      <c r="B36" s="35"/>
      <c r="C36" s="4"/>
      <c r="D36" s="28"/>
      <c r="E36" s="5"/>
      <c r="F36" s="32"/>
      <c r="G36" s="5"/>
      <c r="H36" s="5"/>
      <c r="I36" s="5"/>
      <c r="J36" s="6"/>
      <c r="K36" s="28"/>
      <c r="L36" s="44"/>
      <c r="M36" s="48"/>
      <c r="N36" s="36"/>
      <c r="O36" s="48"/>
      <c r="P36" s="36"/>
    </row>
    <row r="37" spans="2:16" x14ac:dyDescent="0.25">
      <c r="B37" s="35"/>
      <c r="C37" s="4"/>
      <c r="D37" s="28"/>
      <c r="E37" s="5"/>
      <c r="F37" s="32"/>
      <c r="G37" s="5"/>
      <c r="H37" s="5"/>
      <c r="I37" s="5"/>
      <c r="J37" s="6"/>
      <c r="K37" s="28"/>
      <c r="L37" s="44"/>
      <c r="M37" s="48"/>
      <c r="N37" s="36"/>
      <c r="O37" s="48"/>
      <c r="P37" s="36"/>
    </row>
    <row r="38" spans="2:16" x14ac:dyDescent="0.25">
      <c r="B38" s="35"/>
      <c r="C38" s="4"/>
      <c r="D38" s="28"/>
      <c r="E38" s="5"/>
      <c r="F38" s="32"/>
      <c r="G38" s="5"/>
      <c r="H38" s="5"/>
      <c r="I38" s="5"/>
      <c r="J38" s="6"/>
      <c r="K38" s="28"/>
      <c r="L38" s="44"/>
      <c r="M38" s="48"/>
      <c r="N38" s="36"/>
      <c r="O38" s="48"/>
      <c r="P38" s="36"/>
    </row>
    <row r="39" spans="2:16" x14ac:dyDescent="0.25">
      <c r="B39" s="37"/>
      <c r="C39" s="38"/>
      <c r="D39" s="39"/>
      <c r="E39" s="40"/>
      <c r="F39" s="41"/>
      <c r="G39" s="40"/>
      <c r="H39" s="40"/>
      <c r="I39" s="40"/>
      <c r="J39" s="42"/>
      <c r="K39" s="39"/>
      <c r="L39" s="45"/>
      <c r="M39" s="48"/>
      <c r="N39" s="43"/>
      <c r="O39" s="48"/>
      <c r="P39" s="43"/>
    </row>
    <row r="40" spans="2:16" ht="9.4" customHeight="1" x14ac:dyDescent="0.25">
      <c r="B40" s="7" t="s">
        <v>55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2:16" ht="9.4" customHeight="1" x14ac:dyDescent="0.25">
      <c r="B41" s="7" t="s">
        <v>56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2:16" x14ac:dyDescent="0.25"/>
    <row r="43" spans="2:16" s="3" customFormat="1" ht="16.149999999999999" hidden="1" customHeight="1" x14ac:dyDescent="0.25"/>
    <row r="44" spans="2:16" x14ac:dyDescent="0.25"/>
    <row r="45" spans="2:16" x14ac:dyDescent="0.25"/>
    <row r="46" spans="2:16" x14ac:dyDescent="0.25"/>
    <row r="47" spans="2:16" x14ac:dyDescent="0.25"/>
    <row r="48" spans="2:16" x14ac:dyDescent="0.25"/>
    <row r="49" x14ac:dyDescent="0.25"/>
  </sheetData>
  <sheetProtection selectLockedCells="1"/>
  <mergeCells count="13">
    <mergeCell ref="H4:K4"/>
    <mergeCell ref="H5:K5"/>
    <mergeCell ref="B16:N16"/>
    <mergeCell ref="B22:N22"/>
    <mergeCell ref="B28:N28"/>
    <mergeCell ref="M9:N9"/>
    <mergeCell ref="B34:N34"/>
    <mergeCell ref="B9:D9"/>
    <mergeCell ref="G9:J9"/>
    <mergeCell ref="B10:D10"/>
    <mergeCell ref="G10:J10"/>
    <mergeCell ref="B11:D11"/>
    <mergeCell ref="G11:J11"/>
  </mergeCells>
  <dataValidations count="7">
    <dataValidation type="whole" errorStyle="information" allowBlank="1" showErrorMessage="1" error="Eingabe außerhalb des gültigen Bereichs." prompt="20°C bis 35°C" sqref="K11">
      <formula1>20</formula1>
      <formula2>35</formula2>
    </dataValidation>
    <dataValidation type="whole" errorStyle="information" allowBlank="1" showErrorMessage="1" error="Eingabe außerhalb des gültigen Bereichs." prompt="Eingabe zwischen 16°C bis 30°C" sqref="E11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E10">
      <formula1>E11</formula1>
      <formula2>E9</formula2>
    </dataValidation>
    <dataValidation type="whole" errorStyle="information" allowBlank="1" showErrorMessage="1" error="Temperatur außerhalb des gütligen Bereichs." prompt="Eingabe zwischen 30°C bis 95°C" sqref="E9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K10">
      <formula1>K9</formula1>
      <formula2>K11</formula2>
    </dataValidation>
    <dataValidation type="whole" errorStyle="information" allowBlank="1" showErrorMessage="1" error="Eingabe außerhalb des gültigen Bereichs." prompt="Eingabe zwischen 5°C bis 20°C" sqref="K9">
      <formula1>5</formula1>
      <formula2>20</formula2>
    </dataValidation>
    <dataValidation type="decimal" errorStyle="information" allowBlank="1" showErrorMessage="1" error="Eingabe außerhalb des gültigen Bereichs." prompt="20°C bis 35°C" sqref="K12">
      <formula1>0.01</formula1>
      <formula2>1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"/>
  <dimension ref="B1:T49"/>
  <sheetViews>
    <sheetView workbookViewId="0">
      <selection activeCell="K2" sqref="K2:L2"/>
    </sheetView>
  </sheetViews>
  <sheetFormatPr defaultColWidth="5.7109375" defaultRowHeight="15" zeroHeight="1" x14ac:dyDescent="0.25"/>
  <cols>
    <col min="1" max="1" width="5.7109375" style="1"/>
    <col min="2" max="2" width="7" style="1" customWidth="1"/>
    <col min="3" max="3" width="6.140625" style="1" customWidth="1"/>
    <col min="4" max="4" width="7" style="1" customWidth="1"/>
    <col min="5" max="5" width="6.7109375" style="1" customWidth="1"/>
    <col min="6" max="16" width="7" style="1" customWidth="1"/>
    <col min="17" max="16384" width="5.7109375" style="1"/>
  </cols>
  <sheetData>
    <row r="1" spans="2:20" x14ac:dyDescent="0.25"/>
    <row r="2" spans="2:20" s="3" customFormat="1" x14ac:dyDescent="0.25">
      <c r="B2" s="22"/>
    </row>
    <row r="3" spans="2:20" s="3" customFormat="1" x14ac:dyDescent="0.25">
      <c r="B3" s="24" t="s">
        <v>20</v>
      </c>
      <c r="C3" s="23"/>
    </row>
    <row r="4" spans="2:20" s="3" customFormat="1" x14ac:dyDescent="0.25">
      <c r="B4" s="22"/>
      <c r="H4" s="326" t="s">
        <v>84</v>
      </c>
      <c r="I4" s="327"/>
      <c r="J4" s="327"/>
      <c r="K4" s="328"/>
    </row>
    <row r="5" spans="2:20" s="3" customFormat="1" x14ac:dyDescent="0.25">
      <c r="B5" s="29" t="s">
        <v>17</v>
      </c>
      <c r="H5" s="326" t="s">
        <v>85</v>
      </c>
      <c r="I5" s="327">
        <v>0</v>
      </c>
      <c r="J5" s="327">
        <v>0</v>
      </c>
      <c r="K5" s="328">
        <v>0</v>
      </c>
    </row>
    <row r="6" spans="2:20" s="3" customFormat="1" ht="6" customHeigh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1"/>
      <c r="P6" s="12"/>
    </row>
    <row r="7" spans="2:20" x14ac:dyDescent="0.25">
      <c r="B7" s="13" t="s">
        <v>24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14"/>
      <c r="O7" s="8"/>
      <c r="P7" s="14"/>
      <c r="Q7" s="1" t="s">
        <v>207</v>
      </c>
    </row>
    <row r="8" spans="2:20" x14ac:dyDescent="0.25">
      <c r="B8" s="176" t="s">
        <v>25</v>
      </c>
      <c r="C8" s="192"/>
      <c r="D8" s="192"/>
      <c r="E8" s="8"/>
      <c r="F8" s="8"/>
      <c r="G8" s="9" t="s">
        <v>22</v>
      </c>
      <c r="H8" s="9"/>
      <c r="I8" s="9"/>
      <c r="J8" s="8"/>
      <c r="K8" s="8"/>
      <c r="L8" s="8"/>
      <c r="M8" s="30"/>
      <c r="N8" s="14"/>
      <c r="O8" s="30"/>
      <c r="P8" s="14"/>
      <c r="Q8" s="1" t="s">
        <v>208</v>
      </c>
    </row>
    <row r="9" spans="2:20" ht="15.75" thickBot="1" x14ac:dyDescent="0.3">
      <c r="B9" s="322" t="str">
        <f>"Entrée de l'eau"</f>
        <v>Entrée de l'eau</v>
      </c>
      <c r="C9" s="323"/>
      <c r="D9" s="323"/>
      <c r="E9" s="98">
        <f>cal!E9</f>
        <v>75</v>
      </c>
      <c r="F9" s="89"/>
      <c r="G9" s="325" t="str">
        <f>B9</f>
        <v>Entrée de l'eau</v>
      </c>
      <c r="H9" s="325"/>
      <c r="I9" s="325"/>
      <c r="J9" s="325"/>
      <c r="K9" s="98">
        <f>cal!K9</f>
        <v>8</v>
      </c>
      <c r="L9" s="8"/>
      <c r="M9" s="311" t="s">
        <v>108</v>
      </c>
      <c r="N9" s="312"/>
      <c r="O9" s="8"/>
      <c r="P9" s="14"/>
      <c r="Q9" s="1" t="s">
        <v>209</v>
      </c>
    </row>
    <row r="10" spans="2:20" ht="15.75" thickTop="1" x14ac:dyDescent="0.25">
      <c r="B10" s="322" t="str">
        <f>"Retour de l'eau"</f>
        <v>Retour de l'eau</v>
      </c>
      <c r="C10" s="323"/>
      <c r="D10" s="323"/>
      <c r="E10" s="98">
        <f>cal!E10</f>
        <v>65</v>
      </c>
      <c r="F10" s="89"/>
      <c r="G10" s="325" t="str">
        <f>B10</f>
        <v>Retour de l'eau</v>
      </c>
      <c r="H10" s="325"/>
      <c r="I10" s="325"/>
      <c r="J10" s="325"/>
      <c r="K10" s="98">
        <f>cal!K10</f>
        <v>14</v>
      </c>
      <c r="L10" s="8"/>
      <c r="M10" s="8"/>
      <c r="N10" s="14"/>
      <c r="O10" s="8"/>
      <c r="P10" s="14"/>
    </row>
    <row r="11" spans="2:20" x14ac:dyDescent="0.25">
      <c r="B11" s="322" t="str">
        <f>"Ambiante"</f>
        <v>Ambiante</v>
      </c>
      <c r="C11" s="323"/>
      <c r="D11" s="323"/>
      <c r="E11" s="98">
        <f>cal!E11</f>
        <v>20</v>
      </c>
      <c r="F11" s="89"/>
      <c r="G11" s="325" t="str">
        <f>B11</f>
        <v>Ambiante</v>
      </c>
      <c r="H11" s="325"/>
      <c r="I11" s="325"/>
      <c r="J11" s="325"/>
      <c r="K11" s="98">
        <f>cal!K11</f>
        <v>25</v>
      </c>
      <c r="L11" s="8"/>
      <c r="M11" s="8"/>
      <c r="N11" s="14"/>
      <c r="O11" s="8"/>
      <c r="P11" s="14"/>
    </row>
    <row r="12" spans="2:20" x14ac:dyDescent="0.25">
      <c r="B12" s="15"/>
      <c r="C12" s="8"/>
      <c r="D12" s="8"/>
      <c r="E12" s="8"/>
      <c r="F12" s="8"/>
      <c r="G12" s="192" t="s">
        <v>126</v>
      </c>
      <c r="H12" s="8"/>
      <c r="I12" s="8"/>
      <c r="J12" s="8"/>
      <c r="K12" s="65">
        <f>cal!K12</f>
        <v>0.5</v>
      </c>
      <c r="L12" s="8"/>
      <c r="M12" s="8"/>
      <c r="N12" s="14"/>
      <c r="O12" s="8"/>
      <c r="P12" s="14"/>
    </row>
    <row r="13" spans="2:20" ht="6" customHeight="1" x14ac:dyDescent="0.25">
      <c r="B13" s="16"/>
      <c r="C13" s="17"/>
      <c r="D13" s="17"/>
      <c r="E13" s="17"/>
      <c r="F13" s="18"/>
      <c r="G13" s="18"/>
      <c r="H13" s="18"/>
      <c r="I13" s="18"/>
      <c r="J13" s="18"/>
      <c r="K13" s="18"/>
      <c r="L13" s="18"/>
      <c r="M13" s="18"/>
      <c r="N13" s="19"/>
      <c r="O13" s="18"/>
      <c r="P13" s="19"/>
    </row>
    <row r="14" spans="2:20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</row>
    <row r="15" spans="2:20" s="2" customFormat="1" ht="95.45" customHeight="1" x14ac:dyDescent="0.25">
      <c r="B15" s="27" t="s">
        <v>18</v>
      </c>
      <c r="C15" s="20" t="s">
        <v>21</v>
      </c>
      <c r="D15" s="27" t="str">
        <f>CONCATENATE("Puissance de cha.  ",ROUND(E9,0),"/",ROUND(E10,0),"/",ROUND(E11,0)," ["&amp;IF(cal!$W$4=1,"W",IF(cal!$W$4=2,"Btu/h"))&amp;"]")</f>
        <v>Puissance de cha.  75/65/20 [W]</v>
      </c>
      <c r="E15" s="31" t="str">
        <f>"Débit d'eau, chauffer ["&amp;IF(cal!$W$4=1,"l/h",IF(cal!$W$4=2,"GPM"))&amp;"]"</f>
        <v>Débit d'eau, chauffer [l/h]</v>
      </c>
      <c r="F15" s="34" t="str">
        <f>"Perte de charge ["&amp;IF(cal!$W$4=1,"kPa",IF(cal!$W$4=2,"inH2O"))&amp;"]"</f>
        <v>Perte de charge [kPa]</v>
      </c>
      <c r="G15" s="20" t="str">
        <f>CONCATENATE("Puissance sens. de refr.  ",ROUND(K9,0),"/",ROUND(K10,0),"/",ROUND(K11,0)," ["&amp;IF(cal!$W$4=1,"W",IF(cal!$W$4=2,"Btu/h"))&amp;"]")</f>
        <v>Puissance sens. de refr.  8/14/25 [W]</v>
      </c>
      <c r="H15" s="20" t="str">
        <f>CONCATENATE("Puissance tot. de refr. ",ROUND(K9,0),"/",ROUND(K10,0),"/",ROUND(K11,0)," ["&amp;IF(cal!$W$4=1,"W",IF(cal!$W$4=2,"Btu/h"))&amp;"]")</f>
        <v>Puissance tot. de refr. 8/14/25 [W]</v>
      </c>
      <c r="I15" s="20" t="str">
        <f>"Débit d'eau, refroidir ["&amp;IF(cal!$W$4=1,"l/h",IF(cal!$W$4=2,"GPM"))&amp;"]"</f>
        <v>Débit d'eau, refroidir [l/h]</v>
      </c>
      <c r="J15" s="21" t="str">
        <f>"Perte de charge ["&amp;IF(cal!$W$4=1,"kPa",IF(cal!$W$4=2,"inH2O"))&amp;"]"</f>
        <v>Perte de charge [kPa]</v>
      </c>
      <c r="K15" s="27" t="s">
        <v>44</v>
      </c>
      <c r="L15" s="33" t="s">
        <v>43</v>
      </c>
      <c r="M15" s="20" t="s">
        <v>23</v>
      </c>
      <c r="N15" s="26" t="str">
        <f>"Débit d'air ["&amp;IF(cal!$W$4=1,"m³/h",IF(cal!$W$4=2,"CFM"))&amp;"]"</f>
        <v>Débit d'air [m³/h]</v>
      </c>
      <c r="O15" s="20" t="str">
        <f>"Temp. de la sortie d'air cha.  ["&amp;IF(cal!$W$4=1,"°C",IF(cal!$W$4=2,"°F"))&amp;"]"</f>
        <v>Temp. de la sortie d'air cha.  [°C]</v>
      </c>
      <c r="P15" s="20" t="str">
        <f>"Temp. de la sortie d'air refr.  ["&amp;IF(cal!$W$4=1,"°C",IF(cal!$W$4=2,"°F"))&amp;"]"</f>
        <v>Temp. de la sortie d'air refr.  [°C]</v>
      </c>
    </row>
    <row r="16" spans="2:20" ht="18" customHeight="1" x14ac:dyDescent="0.25">
      <c r="B16" s="319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1)"</f>
        <v>Briza 12 hauteur 41 cm largeur 14 cm longueur 75 cm (Type 1)</v>
      </c>
      <c r="C16" s="320"/>
      <c r="D16" s="319"/>
      <c r="E16" s="321"/>
      <c r="F16" s="320"/>
      <c r="G16" s="320"/>
      <c r="H16" s="320"/>
      <c r="I16" s="320"/>
      <c r="J16" s="320"/>
      <c r="K16" s="319"/>
      <c r="L16" s="320"/>
      <c r="M16" s="320"/>
      <c r="N16" s="321"/>
      <c r="R16" s="1" t="s">
        <v>93</v>
      </c>
      <c r="T16" s="197" t="s">
        <v>127</v>
      </c>
    </row>
    <row r="17" spans="2:20" x14ac:dyDescent="0.25">
      <c r="B17" s="35"/>
      <c r="C17" s="4"/>
      <c r="D17" s="28"/>
      <c r="E17" s="5"/>
      <c r="F17" s="32"/>
      <c r="G17" s="5"/>
      <c r="H17" s="5"/>
      <c r="I17" s="5"/>
      <c r="J17" s="6"/>
      <c r="K17" s="28"/>
      <c r="L17" s="44"/>
      <c r="M17" s="48"/>
      <c r="N17" s="36"/>
      <c r="O17" s="48"/>
      <c r="P17" s="36"/>
      <c r="R17" s="1" t="s">
        <v>100</v>
      </c>
      <c r="T17" s="197" t="s">
        <v>128</v>
      </c>
    </row>
    <row r="18" spans="2:20" x14ac:dyDescent="0.25">
      <c r="B18" s="35"/>
      <c r="C18" s="4"/>
      <c r="D18" s="28"/>
      <c r="E18" s="5"/>
      <c r="F18" s="32"/>
      <c r="G18" s="5"/>
      <c r="H18" s="5"/>
      <c r="I18" s="5"/>
      <c r="J18" s="6"/>
      <c r="K18" s="28"/>
      <c r="L18" s="44"/>
      <c r="M18" s="48"/>
      <c r="N18" s="36"/>
      <c r="O18" s="48"/>
      <c r="P18" s="36"/>
      <c r="R18" s="1" t="s">
        <v>101</v>
      </c>
      <c r="T18" s="197" t="s">
        <v>129</v>
      </c>
    </row>
    <row r="19" spans="2:20" x14ac:dyDescent="0.25">
      <c r="B19" s="35"/>
      <c r="C19" s="4"/>
      <c r="D19" s="28"/>
      <c r="E19" s="5"/>
      <c r="F19" s="32"/>
      <c r="G19" s="5"/>
      <c r="H19" s="5"/>
      <c r="I19" s="5"/>
      <c r="J19" s="6"/>
      <c r="K19" s="28"/>
      <c r="L19" s="44"/>
      <c r="M19" s="48"/>
      <c r="N19" s="36"/>
      <c r="O19" s="48"/>
      <c r="P19" s="36"/>
    </row>
    <row r="20" spans="2:20" x14ac:dyDescent="0.25">
      <c r="B20" s="35"/>
      <c r="C20" s="4"/>
      <c r="D20" s="28"/>
      <c r="E20" s="5"/>
      <c r="F20" s="32"/>
      <c r="G20" s="5"/>
      <c r="H20" s="5"/>
      <c r="I20" s="5"/>
      <c r="J20" s="6"/>
      <c r="K20" s="28"/>
      <c r="L20" s="44"/>
      <c r="M20" s="48"/>
      <c r="N20" s="36"/>
      <c r="O20" s="48"/>
      <c r="P20" s="36"/>
    </row>
    <row r="21" spans="2:20" x14ac:dyDescent="0.25">
      <c r="B21" s="35"/>
      <c r="C21" s="4"/>
      <c r="D21" s="28"/>
      <c r="E21" s="5"/>
      <c r="F21" s="32"/>
      <c r="G21" s="5"/>
      <c r="H21" s="5"/>
      <c r="I21" s="5"/>
      <c r="J21" s="6"/>
      <c r="K21" s="28"/>
      <c r="L21" s="44"/>
      <c r="M21" s="48"/>
      <c r="N21" s="36"/>
      <c r="O21" s="48"/>
      <c r="P21" s="36"/>
    </row>
    <row r="22" spans="2:20" ht="16.899999999999999" customHeight="1" x14ac:dyDescent="0.25">
      <c r="B22" s="319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2)"</f>
        <v>Briza 12 hauteur 41 cm largeur 14 cm longueur 95 cm (Type 2)</v>
      </c>
      <c r="C22" s="320"/>
      <c r="D22" s="319"/>
      <c r="E22" s="321"/>
      <c r="F22" s="320"/>
      <c r="G22" s="320"/>
      <c r="H22" s="320"/>
      <c r="I22" s="320"/>
      <c r="J22" s="320"/>
      <c r="K22" s="319"/>
      <c r="L22" s="320"/>
      <c r="M22" s="320"/>
      <c r="N22" s="321"/>
    </row>
    <row r="23" spans="2:20" x14ac:dyDescent="0.25">
      <c r="B23" s="35"/>
      <c r="C23" s="4"/>
      <c r="D23" s="28"/>
      <c r="E23" s="5"/>
      <c r="F23" s="32"/>
      <c r="G23" s="5"/>
      <c r="H23" s="5"/>
      <c r="I23" s="5"/>
      <c r="J23" s="6"/>
      <c r="K23" s="28"/>
      <c r="L23" s="44"/>
      <c r="M23" s="48"/>
      <c r="N23" s="36"/>
      <c r="O23" s="48"/>
      <c r="P23" s="36"/>
    </row>
    <row r="24" spans="2:20" x14ac:dyDescent="0.25">
      <c r="B24" s="35"/>
      <c r="C24" s="4"/>
      <c r="D24" s="28"/>
      <c r="E24" s="5"/>
      <c r="F24" s="32"/>
      <c r="G24" s="5"/>
      <c r="H24" s="5"/>
      <c r="I24" s="5"/>
      <c r="J24" s="6"/>
      <c r="K24" s="28"/>
      <c r="L24" s="44"/>
      <c r="M24" s="48"/>
      <c r="N24" s="36"/>
      <c r="O24" s="48"/>
      <c r="P24" s="36"/>
    </row>
    <row r="25" spans="2:20" x14ac:dyDescent="0.25">
      <c r="B25" s="35"/>
      <c r="C25" s="4"/>
      <c r="D25" s="28"/>
      <c r="E25" s="5"/>
      <c r="F25" s="32"/>
      <c r="G25" s="5"/>
      <c r="H25" s="5"/>
      <c r="I25" s="5"/>
      <c r="J25" s="6"/>
      <c r="K25" s="28"/>
      <c r="L25" s="44"/>
      <c r="M25" s="48"/>
      <c r="N25" s="36"/>
      <c r="O25" s="48"/>
      <c r="P25" s="36"/>
    </row>
    <row r="26" spans="2:20" x14ac:dyDescent="0.25">
      <c r="B26" s="35"/>
      <c r="C26" s="4"/>
      <c r="D26" s="28"/>
      <c r="E26" s="5"/>
      <c r="F26" s="32"/>
      <c r="G26" s="5"/>
      <c r="H26" s="5"/>
      <c r="I26" s="5"/>
      <c r="J26" s="6"/>
      <c r="K26" s="28"/>
      <c r="L26" s="44"/>
      <c r="M26" s="48"/>
      <c r="N26" s="36"/>
      <c r="O26" s="48"/>
      <c r="P26" s="36"/>
    </row>
    <row r="27" spans="2:20" x14ac:dyDescent="0.25">
      <c r="B27" s="35"/>
      <c r="C27" s="4"/>
      <c r="D27" s="28"/>
      <c r="E27" s="5"/>
      <c r="F27" s="32"/>
      <c r="G27" s="5"/>
      <c r="H27" s="5"/>
      <c r="I27" s="5"/>
      <c r="J27" s="6"/>
      <c r="K27" s="28"/>
      <c r="L27" s="44"/>
      <c r="M27" s="48"/>
      <c r="N27" s="36"/>
      <c r="O27" s="48"/>
      <c r="P27" s="36"/>
    </row>
    <row r="28" spans="2:20" ht="18" customHeight="1" x14ac:dyDescent="0.25">
      <c r="B28" s="319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Briza 12 hauteur 41 cm largeur 14 cm longueur 125 cm (Type 3)</v>
      </c>
      <c r="C28" s="320"/>
      <c r="D28" s="319"/>
      <c r="E28" s="321"/>
      <c r="F28" s="320"/>
      <c r="G28" s="320"/>
      <c r="H28" s="320"/>
      <c r="I28" s="320"/>
      <c r="J28" s="320"/>
      <c r="K28" s="319"/>
      <c r="L28" s="320"/>
      <c r="M28" s="320"/>
      <c r="N28" s="321"/>
    </row>
    <row r="29" spans="2:20" x14ac:dyDescent="0.25">
      <c r="B29" s="35"/>
      <c r="C29" s="4"/>
      <c r="D29" s="28"/>
      <c r="E29" s="5"/>
      <c r="F29" s="32"/>
      <c r="G29" s="5"/>
      <c r="H29" s="5"/>
      <c r="I29" s="5"/>
      <c r="J29" s="6"/>
      <c r="K29" s="28"/>
      <c r="L29" s="44"/>
      <c r="M29" s="48"/>
      <c r="N29" s="36"/>
      <c r="O29" s="48"/>
      <c r="P29" s="36"/>
    </row>
    <row r="30" spans="2:20" x14ac:dyDescent="0.25">
      <c r="B30" s="35"/>
      <c r="C30" s="4"/>
      <c r="D30" s="28"/>
      <c r="E30" s="5"/>
      <c r="F30" s="32"/>
      <c r="G30" s="5"/>
      <c r="H30" s="5"/>
      <c r="I30" s="5"/>
      <c r="J30" s="6"/>
      <c r="K30" s="28"/>
      <c r="L30" s="44"/>
      <c r="M30" s="48"/>
      <c r="N30" s="36"/>
      <c r="O30" s="48"/>
      <c r="P30" s="36"/>
    </row>
    <row r="31" spans="2:20" x14ac:dyDescent="0.25">
      <c r="B31" s="35"/>
      <c r="C31" s="4"/>
      <c r="D31" s="28"/>
      <c r="E31" s="5"/>
      <c r="F31" s="32"/>
      <c r="G31" s="5"/>
      <c r="H31" s="5"/>
      <c r="I31" s="5"/>
      <c r="J31" s="6"/>
      <c r="K31" s="28"/>
      <c r="L31" s="44"/>
      <c r="M31" s="48"/>
      <c r="N31" s="36"/>
      <c r="O31" s="48"/>
      <c r="P31" s="36"/>
    </row>
    <row r="32" spans="2:20" x14ac:dyDescent="0.25">
      <c r="B32" s="35"/>
      <c r="C32" s="4"/>
      <c r="D32" s="28"/>
      <c r="E32" s="5"/>
      <c r="F32" s="32"/>
      <c r="G32" s="5"/>
      <c r="H32" s="5"/>
      <c r="I32" s="5"/>
      <c r="J32" s="6"/>
      <c r="K32" s="28"/>
      <c r="L32" s="44"/>
      <c r="M32" s="48"/>
      <c r="N32" s="36"/>
      <c r="O32" s="48"/>
      <c r="P32" s="36"/>
    </row>
    <row r="33" spans="2:16" x14ac:dyDescent="0.25">
      <c r="B33" s="35"/>
      <c r="C33" s="4"/>
      <c r="D33" s="28"/>
      <c r="E33" s="5"/>
      <c r="F33" s="32"/>
      <c r="G33" s="5"/>
      <c r="H33" s="5"/>
      <c r="I33" s="5"/>
      <c r="J33" s="6"/>
      <c r="K33" s="28"/>
      <c r="L33" s="44"/>
      <c r="M33" s="48"/>
      <c r="N33" s="36"/>
      <c r="O33" s="48"/>
      <c r="P33" s="36"/>
    </row>
    <row r="34" spans="2:16" ht="16.899999999999999" customHeight="1" x14ac:dyDescent="0.25">
      <c r="B34" s="319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Briza 12 hauteur 41 cm largeur 14 cm longueur 145 cm (Type 4)</v>
      </c>
      <c r="C34" s="320"/>
      <c r="D34" s="319"/>
      <c r="E34" s="321"/>
      <c r="F34" s="320"/>
      <c r="G34" s="320"/>
      <c r="H34" s="320"/>
      <c r="I34" s="320"/>
      <c r="J34" s="320"/>
      <c r="K34" s="319"/>
      <c r="L34" s="320"/>
      <c r="M34" s="320"/>
      <c r="N34" s="321"/>
    </row>
    <row r="35" spans="2:16" x14ac:dyDescent="0.25">
      <c r="B35" s="35"/>
      <c r="C35" s="4"/>
      <c r="D35" s="28"/>
      <c r="E35" s="5"/>
      <c r="F35" s="32"/>
      <c r="G35" s="5"/>
      <c r="H35" s="5"/>
      <c r="I35" s="5"/>
      <c r="J35" s="6"/>
      <c r="K35" s="28"/>
      <c r="L35" s="44"/>
      <c r="M35" s="48"/>
      <c r="N35" s="36"/>
      <c r="O35" s="48"/>
      <c r="P35" s="36"/>
    </row>
    <row r="36" spans="2:16" x14ac:dyDescent="0.25">
      <c r="B36" s="35"/>
      <c r="C36" s="4"/>
      <c r="D36" s="28"/>
      <c r="E36" s="5"/>
      <c r="F36" s="32"/>
      <c r="G36" s="5"/>
      <c r="H36" s="5"/>
      <c r="I36" s="5"/>
      <c r="J36" s="6"/>
      <c r="K36" s="28"/>
      <c r="L36" s="44"/>
      <c r="M36" s="48"/>
      <c r="N36" s="36"/>
      <c r="O36" s="48"/>
      <c r="P36" s="36"/>
    </row>
    <row r="37" spans="2:16" x14ac:dyDescent="0.25">
      <c r="B37" s="35"/>
      <c r="C37" s="4"/>
      <c r="D37" s="28"/>
      <c r="E37" s="5"/>
      <c r="F37" s="32"/>
      <c r="G37" s="5"/>
      <c r="H37" s="5"/>
      <c r="I37" s="5"/>
      <c r="J37" s="6"/>
      <c r="K37" s="28"/>
      <c r="L37" s="44"/>
      <c r="M37" s="48"/>
      <c r="N37" s="36"/>
      <c r="O37" s="48"/>
      <c r="P37" s="36"/>
    </row>
    <row r="38" spans="2:16" x14ac:dyDescent="0.25">
      <c r="B38" s="35"/>
      <c r="C38" s="4"/>
      <c r="D38" s="28"/>
      <c r="E38" s="5"/>
      <c r="F38" s="32"/>
      <c r="G38" s="5"/>
      <c r="H38" s="5"/>
      <c r="I38" s="5"/>
      <c r="J38" s="6"/>
      <c r="K38" s="28"/>
      <c r="L38" s="44"/>
      <c r="M38" s="48"/>
      <c r="N38" s="36"/>
      <c r="O38" s="48"/>
      <c r="P38" s="36"/>
    </row>
    <row r="39" spans="2:16" x14ac:dyDescent="0.25">
      <c r="B39" s="37"/>
      <c r="C39" s="38"/>
      <c r="D39" s="39"/>
      <c r="E39" s="40"/>
      <c r="F39" s="41"/>
      <c r="G39" s="40"/>
      <c r="H39" s="40"/>
      <c r="I39" s="40"/>
      <c r="J39" s="42"/>
      <c r="K39" s="39"/>
      <c r="L39" s="45"/>
      <c r="M39" s="48"/>
      <c r="N39" s="43"/>
      <c r="O39" s="48"/>
      <c r="P39" s="43"/>
    </row>
    <row r="40" spans="2:16" ht="9.4" customHeight="1" x14ac:dyDescent="0.25">
      <c r="B40" s="7" t="s">
        <v>57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49"/>
      <c r="N40" s="47" t="str">
        <f>cal!P40</f>
        <v>v2021-04-26</v>
      </c>
      <c r="O40" s="49"/>
      <c r="P40" s="47"/>
    </row>
    <row r="41" spans="2:16" ht="9.4" customHeight="1" x14ac:dyDescent="0.25">
      <c r="B41" s="7" t="s">
        <v>58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2:16" ht="9.4" customHeight="1" x14ac:dyDescent="0.25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2:16" s="3" customFormat="1" ht="16.149999999999999" hidden="1" customHeight="1" x14ac:dyDescent="0.25"/>
    <row r="44" spans="2:16" x14ac:dyDescent="0.25"/>
    <row r="45" spans="2:16" x14ac:dyDescent="0.25"/>
    <row r="46" spans="2:16" x14ac:dyDescent="0.25"/>
    <row r="47" spans="2:16" x14ac:dyDescent="0.25"/>
    <row r="48" spans="2:16" x14ac:dyDescent="0.25"/>
    <row r="49" x14ac:dyDescent="0.25"/>
  </sheetData>
  <sheetProtection selectLockedCells="1"/>
  <mergeCells count="13">
    <mergeCell ref="H4:K4"/>
    <mergeCell ref="H5:K5"/>
    <mergeCell ref="B16:N16"/>
    <mergeCell ref="B22:N22"/>
    <mergeCell ref="B28:N28"/>
    <mergeCell ref="M9:N9"/>
    <mergeCell ref="B34:N34"/>
    <mergeCell ref="B9:D9"/>
    <mergeCell ref="G9:J9"/>
    <mergeCell ref="B10:D10"/>
    <mergeCell ref="G10:J10"/>
    <mergeCell ref="B11:D11"/>
    <mergeCell ref="G11:J11"/>
  </mergeCells>
  <dataValidations count="7">
    <dataValidation type="whole" errorStyle="information" allowBlank="1" showErrorMessage="1" error="Eingabe außerhalb des gültigen Bereichs." prompt="20°C bis 35°C" sqref="K11">
      <formula1>20</formula1>
      <formula2>35</formula2>
    </dataValidation>
    <dataValidation type="whole" errorStyle="information" allowBlank="1" showErrorMessage="1" error="Eingabe außerhalb des gültigen Bereichs." prompt="Eingabe zwischen 16°C bis 30°C" sqref="E11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E10">
      <formula1>E11</formula1>
      <formula2>E9</formula2>
    </dataValidation>
    <dataValidation type="whole" errorStyle="information" allowBlank="1" showErrorMessage="1" error="Temperatur außerhalb des gütligen Bereichs." prompt="Eingabe zwischen 30°C bis 95°C" sqref="E9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K10">
      <formula1>K9</formula1>
      <formula2>K11</formula2>
    </dataValidation>
    <dataValidation type="whole" errorStyle="information" allowBlank="1" showErrorMessage="1" error="Eingabe außerhalb des gültigen Bereichs." prompt="Eingabe zwischen 5°C bis 20°C" sqref="K9">
      <formula1>5</formula1>
      <formula2>20</formula2>
    </dataValidation>
    <dataValidation type="decimal" errorStyle="information" allowBlank="1" showErrorMessage="1" error="Eingabe außerhalb des gültigen Bereichs." prompt="20°C bis 35°C" sqref="K12">
      <formula1>0.01</formula1>
      <formula2>1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"/>
  <dimension ref="B1:T49"/>
  <sheetViews>
    <sheetView workbookViewId="0">
      <selection activeCell="K2" sqref="K2:L2"/>
    </sheetView>
  </sheetViews>
  <sheetFormatPr defaultColWidth="5.7109375" defaultRowHeight="15" zeroHeight="1" x14ac:dyDescent="0.25"/>
  <cols>
    <col min="1" max="1" width="5.7109375" style="1"/>
    <col min="2" max="2" width="7" style="1" customWidth="1"/>
    <col min="3" max="3" width="6.140625" style="1" customWidth="1"/>
    <col min="4" max="4" width="7" style="1" customWidth="1"/>
    <col min="5" max="5" width="6.7109375" style="1" customWidth="1"/>
    <col min="6" max="16" width="7" style="1" customWidth="1"/>
    <col min="17" max="16384" width="5.7109375" style="1"/>
  </cols>
  <sheetData>
    <row r="1" spans="2:20" x14ac:dyDescent="0.25"/>
    <row r="2" spans="2:20" s="3" customFormat="1" x14ac:dyDescent="0.25">
      <c r="B2" s="22"/>
    </row>
    <row r="3" spans="2:20" s="3" customFormat="1" x14ac:dyDescent="0.25">
      <c r="B3" s="178" t="s">
        <v>80</v>
      </c>
      <c r="C3" s="23"/>
    </row>
    <row r="4" spans="2:20" s="3" customFormat="1" x14ac:dyDescent="0.25">
      <c r="B4" s="22"/>
      <c r="H4" s="326" t="s">
        <v>81</v>
      </c>
      <c r="I4" s="327">
        <v>0</v>
      </c>
      <c r="J4" s="327">
        <v>0</v>
      </c>
      <c r="K4" s="328">
        <v>0</v>
      </c>
    </row>
    <row r="5" spans="2:20" s="3" customFormat="1" x14ac:dyDescent="0.25">
      <c r="B5" s="29" t="s">
        <v>17</v>
      </c>
      <c r="H5" s="326" t="s">
        <v>82</v>
      </c>
      <c r="I5" s="327">
        <v>0</v>
      </c>
      <c r="J5" s="327">
        <v>0</v>
      </c>
      <c r="K5" s="328">
        <v>0</v>
      </c>
    </row>
    <row r="6" spans="2:20" s="3" customFormat="1" ht="6" customHeigh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1"/>
      <c r="P6" s="12"/>
    </row>
    <row r="7" spans="2:20" x14ac:dyDescent="0.25">
      <c r="B7" s="176" t="s">
        <v>77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14"/>
      <c r="O7" s="8"/>
      <c r="P7" s="14"/>
      <c r="Q7" s="1" t="s">
        <v>205</v>
      </c>
    </row>
    <row r="8" spans="2:20" x14ac:dyDescent="0.25">
      <c r="B8" s="176" t="s">
        <v>78</v>
      </c>
      <c r="C8" s="192"/>
      <c r="D8" s="192"/>
      <c r="E8" s="8"/>
      <c r="F8" s="8"/>
      <c r="G8" s="177" t="s">
        <v>79</v>
      </c>
      <c r="H8" s="9"/>
      <c r="I8" s="9"/>
      <c r="J8" s="8"/>
      <c r="K8" s="8"/>
      <c r="L8" s="8"/>
      <c r="M8" s="30"/>
      <c r="N8" s="14"/>
      <c r="O8" s="30"/>
      <c r="P8" s="14"/>
      <c r="Q8" s="1" t="s">
        <v>200</v>
      </c>
    </row>
    <row r="9" spans="2:20" ht="15.75" thickBot="1" x14ac:dyDescent="0.3">
      <c r="B9" s="322" t="s">
        <v>130</v>
      </c>
      <c r="C9" s="323">
        <v>0</v>
      </c>
      <c r="D9" s="323">
        <v>0</v>
      </c>
      <c r="E9" s="98">
        <f>cal!E9</f>
        <v>75</v>
      </c>
      <c r="F9" s="149"/>
      <c r="G9" s="325" t="str">
        <f>B9</f>
        <v>Tur vann</v>
      </c>
      <c r="H9" s="325"/>
      <c r="I9" s="325"/>
      <c r="J9" s="325"/>
      <c r="K9" s="98">
        <f>cal!K9</f>
        <v>8</v>
      </c>
      <c r="L9" s="8"/>
      <c r="M9" s="311" t="s">
        <v>109</v>
      </c>
      <c r="N9" s="312"/>
      <c r="O9" s="8"/>
      <c r="P9" s="14"/>
      <c r="Q9" s="1" t="s">
        <v>206</v>
      </c>
    </row>
    <row r="10" spans="2:20" ht="15.75" thickTop="1" x14ac:dyDescent="0.25">
      <c r="B10" s="322" t="s">
        <v>131</v>
      </c>
      <c r="C10" s="323">
        <v>0</v>
      </c>
      <c r="D10" s="323">
        <v>0</v>
      </c>
      <c r="E10" s="98">
        <f>cal!E10</f>
        <v>65</v>
      </c>
      <c r="F10" s="149"/>
      <c r="G10" s="325" t="str">
        <f>B10</f>
        <v>Retur vann</v>
      </c>
      <c r="H10" s="325"/>
      <c r="I10" s="325"/>
      <c r="J10" s="325"/>
      <c r="K10" s="98">
        <f>cal!K10</f>
        <v>14</v>
      </c>
      <c r="L10" s="8"/>
      <c r="M10" s="8"/>
      <c r="N10" s="14"/>
      <c r="O10" s="8"/>
      <c r="P10" s="14"/>
    </row>
    <row r="11" spans="2:20" x14ac:dyDescent="0.25">
      <c r="B11" s="322" t="s">
        <v>132</v>
      </c>
      <c r="C11" s="323">
        <v>0</v>
      </c>
      <c r="D11" s="323">
        <v>0</v>
      </c>
      <c r="E11" s="98">
        <f>cal!E11</f>
        <v>20</v>
      </c>
      <c r="F11" s="149"/>
      <c r="G11" s="325" t="str">
        <f>B11</f>
        <v>Rom</v>
      </c>
      <c r="H11" s="325"/>
      <c r="I11" s="325"/>
      <c r="J11" s="325"/>
      <c r="K11" s="98">
        <f>cal!K11</f>
        <v>25</v>
      </c>
      <c r="L11" s="8"/>
      <c r="M11" s="8"/>
      <c r="N11" s="14"/>
      <c r="O11" s="8"/>
      <c r="P11" s="14"/>
    </row>
    <row r="12" spans="2:20" x14ac:dyDescent="0.25">
      <c r="B12" s="15"/>
      <c r="C12" s="8"/>
      <c r="D12" s="8"/>
      <c r="E12" s="8"/>
      <c r="F12" s="8"/>
      <c r="G12" s="323" t="s">
        <v>133</v>
      </c>
      <c r="H12" s="323"/>
      <c r="I12" s="323"/>
      <c r="J12" s="324"/>
      <c r="K12" s="65">
        <f>cal!K12</f>
        <v>0.5</v>
      </c>
      <c r="L12" s="8"/>
      <c r="M12" s="8"/>
      <c r="N12" s="14"/>
      <c r="O12" s="8"/>
      <c r="P12" s="14"/>
    </row>
    <row r="13" spans="2:20" ht="6" customHeight="1" x14ac:dyDescent="0.25">
      <c r="B13" s="16"/>
      <c r="C13" s="17"/>
      <c r="D13" s="17"/>
      <c r="E13" s="17"/>
      <c r="F13" s="18"/>
      <c r="G13" s="18"/>
      <c r="H13" s="18"/>
      <c r="I13" s="18"/>
      <c r="J13" s="18"/>
      <c r="K13" s="18"/>
      <c r="L13" s="18"/>
      <c r="M13" s="18"/>
      <c r="N13" s="19"/>
      <c r="O13" s="18"/>
      <c r="P13" s="19"/>
    </row>
    <row r="14" spans="2:20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</row>
    <row r="15" spans="2:20" s="2" customFormat="1" ht="95.45" customHeight="1" x14ac:dyDescent="0.25">
      <c r="B15" s="173" t="s">
        <v>190</v>
      </c>
      <c r="C15" s="174" t="s">
        <v>182</v>
      </c>
      <c r="D15" s="173" t="str">
        <f>CONCATENATE("Varme effekt ",ROUND(E9,0),"/",ROUND(E10,0),"/",ROUND(E11,0)," ["&amp;IF(cal!$W$4=1,"W",IF(cal!$W$4=2,"Btu/h"))&amp;"]")</f>
        <v>Varme effekt 75/65/20 [W]</v>
      </c>
      <c r="E15" s="179" t="str">
        <f>"Vannmengde, varme ["&amp;IF(cal!$W$4=1,"l/h",IF(cal!$W$4=2,"GPM"))&amp;"]"</f>
        <v>Vannmengde, varme [l/h]</v>
      </c>
      <c r="F15" s="180" t="str">
        <f>"Trykktap ["&amp;IF(cal!$W$4=1,"kPa",IF(cal!$W$4=2,"ftH2O"))&amp;"]"</f>
        <v>Trykktap [kPa]</v>
      </c>
      <c r="G15" s="174" t="str">
        <f>CONCATENATE("Sens. Kjøling effekt * ",ROUND(K9,0),"/",ROUND(K10,0),"/",ROUND(K11,0)," ["&amp;IF(cal!$W$4=1,"W",IF(cal!$W$4=2,"Btu/h"))&amp;"]")</f>
        <v>Sens. Kjøling effekt * 8/14/25 [W]</v>
      </c>
      <c r="H15" s="174" t="str">
        <f>CONCATENATE("Tot. Kjøle effekt ",ROUND(K9,0),"/",ROUND(K10,0),"/",ROUND(K11,0)," ["&amp;IF(cal!$W$4=1,"W",IF(cal!$W$4=2,"Btu/h"))&amp;"]")</f>
        <v>Tot. Kjøle effekt 8/14/25 [W]</v>
      </c>
      <c r="I15" s="174" t="str">
        <f>"Vannmengde, kjøling ["&amp;IF(cal!$W$4=1,"l/h",IF(cal!$W$4=2,"GPM"))&amp;"]"</f>
        <v>Vannmengde, kjøling [l/h]</v>
      </c>
      <c r="J15" s="174" t="str">
        <f>F15</f>
        <v>Trykktap [kPa]</v>
      </c>
      <c r="K15" s="173" t="s">
        <v>186</v>
      </c>
      <c r="L15" s="181" t="s">
        <v>187</v>
      </c>
      <c r="M15" s="174" t="s">
        <v>83</v>
      </c>
      <c r="N15" s="180" t="str">
        <f>"Luftmengde ["&amp;IF(cal!$W$4=1,"m³/h",IF(cal!$W$4=2,"CFM"))&amp;"]"</f>
        <v>Luftmengde [m³/h]</v>
      </c>
      <c r="O15" s="20" t="str">
        <f>"Uitblaastemp. verwarming  ["&amp;IF(cal!$W$4=1,"°C",IF(cal!$W$4=2,"°F"))&amp;"]"</f>
        <v>Uitblaastemp. verwarming  [°C]</v>
      </c>
      <c r="P15" s="20" t="str">
        <f>"Uitblaastemp. koeling  ["&amp;IF(cal!$W$4=1,"°C",IF(cal!$W$4=2,"°F"))&amp;"]"</f>
        <v>Uitblaastemp. koeling  [°C]</v>
      </c>
    </row>
    <row r="16" spans="2:20" ht="18" customHeight="1" x14ac:dyDescent="0.25">
      <c r="B16" s="319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1)"</f>
        <v>Briza 12 høyde 41 cm bredde 14 cm lengde 75 cm (Type 1)</v>
      </c>
      <c r="C16" s="320"/>
      <c r="D16" s="319"/>
      <c r="E16" s="321"/>
      <c r="F16" s="320"/>
      <c r="G16" s="320"/>
      <c r="H16" s="320"/>
      <c r="I16" s="320"/>
      <c r="J16" s="320"/>
      <c r="K16" s="319"/>
      <c r="L16" s="320"/>
      <c r="M16" s="320"/>
      <c r="N16" s="321"/>
      <c r="R16" s="1" t="s">
        <v>93</v>
      </c>
      <c r="T16" s="197" t="s">
        <v>134</v>
      </c>
    </row>
    <row r="17" spans="2:20" x14ac:dyDescent="0.25">
      <c r="B17" s="35"/>
      <c r="C17" s="4"/>
      <c r="D17" s="28"/>
      <c r="E17" s="5"/>
      <c r="F17" s="32"/>
      <c r="G17" s="5"/>
      <c r="H17" s="5"/>
      <c r="I17" s="5"/>
      <c r="J17" s="6"/>
      <c r="K17" s="28"/>
      <c r="L17" s="44"/>
      <c r="M17" s="48"/>
      <c r="N17" s="36"/>
      <c r="O17" s="48"/>
      <c r="P17" s="36"/>
      <c r="R17" s="1" t="s">
        <v>102</v>
      </c>
      <c r="T17" s="197" t="s">
        <v>135</v>
      </c>
    </row>
    <row r="18" spans="2:20" x14ac:dyDescent="0.25">
      <c r="B18" s="35"/>
      <c r="C18" s="4"/>
      <c r="D18" s="28"/>
      <c r="E18" s="5"/>
      <c r="F18" s="32"/>
      <c r="G18" s="5"/>
      <c r="H18" s="5"/>
      <c r="I18" s="5"/>
      <c r="J18" s="6"/>
      <c r="K18" s="28"/>
      <c r="L18" s="44"/>
      <c r="M18" s="48"/>
      <c r="N18" s="36"/>
      <c r="O18" s="48"/>
      <c r="P18" s="36"/>
      <c r="R18" s="1" t="s">
        <v>103</v>
      </c>
      <c r="T18" s="197" t="s">
        <v>136</v>
      </c>
    </row>
    <row r="19" spans="2:20" x14ac:dyDescent="0.25">
      <c r="B19" s="35"/>
      <c r="C19" s="4"/>
      <c r="D19" s="28"/>
      <c r="E19" s="5"/>
      <c r="F19" s="32"/>
      <c r="G19" s="5"/>
      <c r="H19" s="5"/>
      <c r="I19" s="5"/>
      <c r="J19" s="6"/>
      <c r="K19" s="28"/>
      <c r="L19" s="44"/>
      <c r="M19" s="48"/>
      <c r="N19" s="36"/>
      <c r="O19" s="48"/>
      <c r="P19" s="36"/>
      <c r="T19" s="197"/>
    </row>
    <row r="20" spans="2:20" x14ac:dyDescent="0.25">
      <c r="B20" s="35"/>
      <c r="C20" s="4"/>
      <c r="D20" s="28"/>
      <c r="E20" s="5"/>
      <c r="F20" s="32"/>
      <c r="G20" s="5"/>
      <c r="H20" s="5"/>
      <c r="I20" s="5"/>
      <c r="J20" s="6"/>
      <c r="K20" s="28"/>
      <c r="L20" s="44"/>
      <c r="M20" s="48"/>
      <c r="N20" s="36"/>
      <c r="O20" s="48"/>
      <c r="P20" s="36"/>
    </row>
    <row r="21" spans="2:20" x14ac:dyDescent="0.25">
      <c r="B21" s="35"/>
      <c r="C21" s="4"/>
      <c r="D21" s="28"/>
      <c r="E21" s="5"/>
      <c r="F21" s="32"/>
      <c r="G21" s="5"/>
      <c r="H21" s="5"/>
      <c r="I21" s="5"/>
      <c r="J21" s="6"/>
      <c r="K21" s="28"/>
      <c r="L21" s="44"/>
      <c r="M21" s="48"/>
      <c r="N21" s="36"/>
      <c r="O21" s="48"/>
      <c r="P21" s="36"/>
    </row>
    <row r="22" spans="2:20" ht="16.899999999999999" customHeight="1" x14ac:dyDescent="0.25">
      <c r="B22" s="319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2)"</f>
        <v>Briza 12 høyde 41 cm bredde 14 cm lengde 95 cm (Type 2)</v>
      </c>
      <c r="C22" s="320"/>
      <c r="D22" s="319"/>
      <c r="E22" s="321"/>
      <c r="F22" s="320"/>
      <c r="G22" s="320"/>
      <c r="H22" s="320"/>
      <c r="I22" s="320"/>
      <c r="J22" s="320"/>
      <c r="K22" s="319"/>
      <c r="L22" s="320"/>
      <c r="M22" s="320"/>
      <c r="N22" s="321"/>
    </row>
    <row r="23" spans="2:20" x14ac:dyDescent="0.25">
      <c r="B23" s="35"/>
      <c r="C23" s="4"/>
      <c r="D23" s="28"/>
      <c r="E23" s="5"/>
      <c r="F23" s="32"/>
      <c r="G23" s="5"/>
      <c r="H23" s="5"/>
      <c r="I23" s="5"/>
      <c r="J23" s="6"/>
      <c r="K23" s="28"/>
      <c r="L23" s="44"/>
      <c r="M23" s="48"/>
      <c r="N23" s="36"/>
      <c r="O23" s="48"/>
      <c r="P23" s="36"/>
    </row>
    <row r="24" spans="2:20" x14ac:dyDescent="0.25">
      <c r="B24" s="35"/>
      <c r="C24" s="4"/>
      <c r="D24" s="28"/>
      <c r="E24" s="5"/>
      <c r="F24" s="32"/>
      <c r="G24" s="5"/>
      <c r="H24" s="5"/>
      <c r="I24" s="5"/>
      <c r="J24" s="6"/>
      <c r="K24" s="28"/>
      <c r="L24" s="44"/>
      <c r="M24" s="48"/>
      <c r="N24" s="36"/>
      <c r="O24" s="48"/>
      <c r="P24" s="36"/>
    </row>
    <row r="25" spans="2:20" x14ac:dyDescent="0.25">
      <c r="B25" s="35"/>
      <c r="C25" s="4"/>
      <c r="D25" s="28"/>
      <c r="E25" s="5"/>
      <c r="F25" s="32"/>
      <c r="G25" s="5"/>
      <c r="H25" s="5"/>
      <c r="I25" s="5"/>
      <c r="J25" s="6"/>
      <c r="K25" s="28"/>
      <c r="L25" s="44"/>
      <c r="M25" s="48"/>
      <c r="N25" s="36"/>
      <c r="O25" s="48"/>
      <c r="P25" s="36"/>
    </row>
    <row r="26" spans="2:20" x14ac:dyDescent="0.25">
      <c r="B26" s="35"/>
      <c r="C26" s="4"/>
      <c r="D26" s="28"/>
      <c r="E26" s="5"/>
      <c r="F26" s="32"/>
      <c r="G26" s="5"/>
      <c r="H26" s="5"/>
      <c r="I26" s="5"/>
      <c r="J26" s="6"/>
      <c r="K26" s="28"/>
      <c r="L26" s="44"/>
      <c r="M26" s="48"/>
      <c r="N26" s="36"/>
      <c r="O26" s="48"/>
      <c r="P26" s="36"/>
    </row>
    <row r="27" spans="2:20" x14ac:dyDescent="0.25">
      <c r="B27" s="35"/>
      <c r="C27" s="4"/>
      <c r="D27" s="28"/>
      <c r="E27" s="5"/>
      <c r="F27" s="32"/>
      <c r="G27" s="5"/>
      <c r="H27" s="5"/>
      <c r="I27" s="5"/>
      <c r="J27" s="6"/>
      <c r="K27" s="28"/>
      <c r="L27" s="44"/>
      <c r="M27" s="48"/>
      <c r="N27" s="36"/>
      <c r="O27" s="48"/>
      <c r="P27" s="36"/>
    </row>
    <row r="28" spans="2:20" ht="18" customHeight="1" x14ac:dyDescent="0.25">
      <c r="B28" s="319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Briza 12 høyde 41 cm bredde 14 cm lengde 125 cm (Type 3)</v>
      </c>
      <c r="C28" s="320"/>
      <c r="D28" s="319"/>
      <c r="E28" s="321"/>
      <c r="F28" s="320"/>
      <c r="G28" s="320"/>
      <c r="H28" s="320"/>
      <c r="I28" s="320"/>
      <c r="J28" s="320"/>
      <c r="K28" s="319"/>
      <c r="L28" s="320"/>
      <c r="M28" s="320"/>
      <c r="N28" s="321"/>
    </row>
    <row r="29" spans="2:20" x14ac:dyDescent="0.25">
      <c r="B29" s="35"/>
      <c r="C29" s="4"/>
      <c r="D29" s="28"/>
      <c r="E29" s="5"/>
      <c r="F29" s="32"/>
      <c r="G29" s="5"/>
      <c r="H29" s="5"/>
      <c r="I29" s="5"/>
      <c r="J29" s="6"/>
      <c r="K29" s="28"/>
      <c r="L29" s="44"/>
      <c r="M29" s="48"/>
      <c r="N29" s="36"/>
      <c r="O29" s="48"/>
      <c r="P29" s="36"/>
    </row>
    <row r="30" spans="2:20" x14ac:dyDescent="0.25">
      <c r="B30" s="35"/>
      <c r="C30" s="4"/>
      <c r="D30" s="28"/>
      <c r="E30" s="5"/>
      <c r="F30" s="32"/>
      <c r="G30" s="5"/>
      <c r="H30" s="5"/>
      <c r="I30" s="5"/>
      <c r="J30" s="6"/>
      <c r="K30" s="28"/>
      <c r="L30" s="44"/>
      <c r="M30" s="48"/>
      <c r="N30" s="36"/>
      <c r="O30" s="48"/>
      <c r="P30" s="36"/>
    </row>
    <row r="31" spans="2:20" x14ac:dyDescent="0.25">
      <c r="B31" s="35"/>
      <c r="C31" s="4"/>
      <c r="D31" s="28"/>
      <c r="E31" s="5"/>
      <c r="F31" s="32"/>
      <c r="G31" s="5"/>
      <c r="H31" s="5"/>
      <c r="I31" s="5"/>
      <c r="J31" s="6"/>
      <c r="K31" s="28"/>
      <c r="L31" s="44"/>
      <c r="M31" s="48"/>
      <c r="N31" s="36"/>
      <c r="O31" s="48"/>
      <c r="P31" s="36"/>
    </row>
    <row r="32" spans="2:20" x14ac:dyDescent="0.25">
      <c r="B32" s="35"/>
      <c r="C32" s="4"/>
      <c r="D32" s="28"/>
      <c r="E32" s="5"/>
      <c r="F32" s="32"/>
      <c r="G32" s="5"/>
      <c r="H32" s="5"/>
      <c r="I32" s="5"/>
      <c r="J32" s="6"/>
      <c r="K32" s="28"/>
      <c r="L32" s="44"/>
      <c r="M32" s="48"/>
      <c r="N32" s="36"/>
      <c r="O32" s="48"/>
      <c r="P32" s="36"/>
    </row>
    <row r="33" spans="2:16" x14ac:dyDescent="0.25">
      <c r="B33" s="35"/>
      <c r="C33" s="4"/>
      <c r="D33" s="28"/>
      <c r="E33" s="5"/>
      <c r="F33" s="32"/>
      <c r="G33" s="5"/>
      <c r="H33" s="5"/>
      <c r="I33" s="5"/>
      <c r="J33" s="6"/>
      <c r="K33" s="28"/>
      <c r="L33" s="44"/>
      <c r="M33" s="48"/>
      <c r="N33" s="36"/>
      <c r="O33" s="48"/>
      <c r="P33" s="36"/>
    </row>
    <row r="34" spans="2:16" ht="16.899999999999999" customHeight="1" x14ac:dyDescent="0.25">
      <c r="B34" s="319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Briza 12 høyde 41 cm bredde 14 cm lengde 145 cm (Type 4)</v>
      </c>
      <c r="C34" s="320"/>
      <c r="D34" s="319"/>
      <c r="E34" s="321"/>
      <c r="F34" s="320"/>
      <c r="G34" s="320"/>
      <c r="H34" s="320"/>
      <c r="I34" s="320"/>
      <c r="J34" s="320"/>
      <c r="K34" s="319"/>
      <c r="L34" s="320"/>
      <c r="M34" s="320"/>
      <c r="N34" s="321"/>
    </row>
    <row r="35" spans="2:16" x14ac:dyDescent="0.25">
      <c r="B35" s="35"/>
      <c r="C35" s="4"/>
      <c r="D35" s="28"/>
      <c r="E35" s="5"/>
      <c r="F35" s="32"/>
      <c r="G35" s="5"/>
      <c r="H35" s="5"/>
      <c r="I35" s="5"/>
      <c r="J35" s="6"/>
      <c r="K35" s="28"/>
      <c r="L35" s="44"/>
      <c r="M35" s="48"/>
      <c r="N35" s="36"/>
      <c r="O35" s="48"/>
      <c r="P35" s="36"/>
    </row>
    <row r="36" spans="2:16" x14ac:dyDescent="0.25">
      <c r="B36" s="35"/>
      <c r="C36" s="4"/>
      <c r="D36" s="28"/>
      <c r="E36" s="5"/>
      <c r="F36" s="32"/>
      <c r="G36" s="5"/>
      <c r="H36" s="5"/>
      <c r="I36" s="5"/>
      <c r="J36" s="6"/>
      <c r="K36" s="28"/>
      <c r="L36" s="44"/>
      <c r="M36" s="48"/>
      <c r="N36" s="36"/>
      <c r="O36" s="48"/>
      <c r="P36" s="36"/>
    </row>
    <row r="37" spans="2:16" x14ac:dyDescent="0.25">
      <c r="B37" s="35"/>
      <c r="C37" s="4"/>
      <c r="D37" s="28"/>
      <c r="E37" s="5"/>
      <c r="F37" s="32"/>
      <c r="G37" s="5"/>
      <c r="H37" s="5"/>
      <c r="I37" s="5"/>
      <c r="J37" s="6"/>
      <c r="K37" s="28"/>
      <c r="L37" s="44"/>
      <c r="M37" s="48"/>
      <c r="N37" s="36"/>
      <c r="O37" s="48"/>
      <c r="P37" s="36"/>
    </row>
    <row r="38" spans="2:16" x14ac:dyDescent="0.25">
      <c r="B38" s="35"/>
      <c r="C38" s="4"/>
      <c r="D38" s="28"/>
      <c r="E38" s="5"/>
      <c r="F38" s="32"/>
      <c r="G38" s="5"/>
      <c r="H38" s="5"/>
      <c r="I38" s="5"/>
      <c r="J38" s="6"/>
      <c r="K38" s="28"/>
      <c r="L38" s="44"/>
      <c r="M38" s="48"/>
      <c r="N38" s="36"/>
      <c r="O38" s="48"/>
      <c r="P38" s="36"/>
    </row>
    <row r="39" spans="2:16" x14ac:dyDescent="0.25">
      <c r="B39" s="37"/>
      <c r="C39" s="38"/>
      <c r="D39" s="39"/>
      <c r="E39" s="40"/>
      <c r="F39" s="41"/>
      <c r="G39" s="40"/>
      <c r="H39" s="40"/>
      <c r="I39" s="40"/>
      <c r="J39" s="42"/>
      <c r="K39" s="39"/>
      <c r="L39" s="45"/>
      <c r="M39" s="48"/>
      <c r="N39" s="43"/>
      <c r="O39" s="48"/>
      <c r="P39" s="43"/>
    </row>
    <row r="40" spans="2:16" ht="9.4" customHeight="1" x14ac:dyDescent="0.25">
      <c r="B40" s="245" t="s">
        <v>153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49"/>
      <c r="N40" s="47" t="str">
        <f>cal!P40</f>
        <v>v2021-04-26</v>
      </c>
      <c r="O40" s="49"/>
      <c r="P40" s="47"/>
    </row>
    <row r="41" spans="2:16" ht="9.4" customHeight="1" x14ac:dyDescent="0.25">
      <c r="B41" s="245" t="s">
        <v>154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2:16" ht="9.4" customHeight="1" x14ac:dyDescent="0.25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2:16" s="3" customFormat="1" ht="16.149999999999999" hidden="1" customHeight="1" x14ac:dyDescent="0.25"/>
    <row r="44" spans="2:16" x14ac:dyDescent="0.25"/>
    <row r="45" spans="2:16" x14ac:dyDescent="0.25"/>
    <row r="46" spans="2:16" x14ac:dyDescent="0.25"/>
    <row r="47" spans="2:16" x14ac:dyDescent="0.25"/>
    <row r="48" spans="2:16" x14ac:dyDescent="0.25"/>
    <row r="49" x14ac:dyDescent="0.25"/>
  </sheetData>
  <sheetProtection selectLockedCells="1"/>
  <mergeCells count="14">
    <mergeCell ref="M9:N9"/>
    <mergeCell ref="B16:N16"/>
    <mergeCell ref="B22:N22"/>
    <mergeCell ref="B28:N28"/>
    <mergeCell ref="B34:N34"/>
    <mergeCell ref="G12:J12"/>
    <mergeCell ref="B11:D11"/>
    <mergeCell ref="G11:J11"/>
    <mergeCell ref="H4:K4"/>
    <mergeCell ref="H5:K5"/>
    <mergeCell ref="B9:D9"/>
    <mergeCell ref="G9:J9"/>
    <mergeCell ref="B10:D10"/>
    <mergeCell ref="G10:J10"/>
  </mergeCells>
  <dataValidations count="7">
    <dataValidation type="decimal" errorStyle="information" allowBlank="1" showErrorMessage="1" error="Eingabe außerhalb des gültigen Bereichs." prompt="20°C bis 35°C" sqref="K12">
      <formula1>0.01</formula1>
      <formula2>1</formula2>
    </dataValidation>
    <dataValidation type="whole" errorStyle="information" allowBlank="1" showErrorMessage="1" error="Eingabe außerhalb des gültigen Bereichs." prompt="Eingabe zwischen 5°C bis 20°C" sqref="K9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K10">
      <formula1>K9</formula1>
      <formula2>K11</formula2>
    </dataValidation>
    <dataValidation type="whole" errorStyle="information" allowBlank="1" showErrorMessage="1" error="Temperatur außerhalb des gütligen Bereichs." prompt="Eingabe zwischen 30°C bis 95°C" sqref="E9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E10">
      <formula1>E11</formula1>
      <formula2>E9</formula2>
    </dataValidation>
    <dataValidation type="whole" errorStyle="information" allowBlank="1" showErrorMessage="1" error="Eingabe außerhalb des gültigen Bereichs." prompt="Eingabe zwischen 16°C bis 30°C" sqref="E11">
      <formula1>16</formula1>
      <formula2>30</formula2>
    </dataValidation>
    <dataValidation type="whole" errorStyle="information" allowBlank="1" showErrorMessage="1" error="Eingabe außerhalb des gültigen Bereichs." prompt="20°C bis 35°C" sqref="K11">
      <formula1>20</formula1>
      <formula2>35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"/>
  <dimension ref="B1:T49"/>
  <sheetViews>
    <sheetView workbookViewId="0">
      <selection activeCell="K2" sqref="K2:L2"/>
    </sheetView>
  </sheetViews>
  <sheetFormatPr defaultColWidth="5.7109375" defaultRowHeight="15" zeroHeight="1" x14ac:dyDescent="0.25"/>
  <cols>
    <col min="1" max="1" width="5.7109375" style="1"/>
    <col min="2" max="2" width="7" style="1" customWidth="1"/>
    <col min="3" max="3" width="6.140625" style="1" customWidth="1"/>
    <col min="4" max="4" width="7" style="1" customWidth="1"/>
    <col min="5" max="5" width="6.7109375" style="1" customWidth="1"/>
    <col min="6" max="16" width="7" style="1" customWidth="1"/>
    <col min="17" max="16384" width="5.7109375" style="1"/>
  </cols>
  <sheetData>
    <row r="1" spans="2:20" x14ac:dyDescent="0.25"/>
    <row r="2" spans="2:20" s="3" customFormat="1" x14ac:dyDescent="0.25">
      <c r="B2" s="22"/>
    </row>
    <row r="3" spans="2:20" s="3" customFormat="1" x14ac:dyDescent="0.25">
      <c r="B3" s="178"/>
      <c r="C3" s="23"/>
    </row>
    <row r="4" spans="2:20" s="3" customFormat="1" x14ac:dyDescent="0.25">
      <c r="B4" s="22"/>
      <c r="H4" s="326"/>
      <c r="I4" s="327"/>
      <c r="J4" s="327"/>
      <c r="K4" s="328"/>
    </row>
    <row r="5" spans="2:20" s="3" customFormat="1" x14ac:dyDescent="0.25">
      <c r="B5" s="29"/>
      <c r="H5" s="326"/>
      <c r="I5" s="327"/>
      <c r="J5" s="327"/>
      <c r="K5" s="328"/>
    </row>
    <row r="6" spans="2:20" s="3" customFormat="1" ht="6" customHeigh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1"/>
      <c r="P6" s="12"/>
    </row>
    <row r="7" spans="2:20" x14ac:dyDescent="0.25">
      <c r="B7" s="176" t="s">
        <v>137</v>
      </c>
      <c r="C7" s="192"/>
      <c r="D7" s="192"/>
      <c r="E7" s="8"/>
      <c r="F7" s="8"/>
      <c r="G7" s="8"/>
      <c r="H7" s="8"/>
      <c r="I7" s="8"/>
      <c r="J7" s="8"/>
      <c r="K7" s="8"/>
      <c r="L7" s="8"/>
      <c r="M7" s="8"/>
      <c r="N7" s="14"/>
      <c r="O7" s="8"/>
      <c r="P7" s="14"/>
      <c r="Q7" s="1" t="s">
        <v>202</v>
      </c>
    </row>
    <row r="8" spans="2:20" x14ac:dyDescent="0.25">
      <c r="B8" s="176" t="s">
        <v>138</v>
      </c>
      <c r="C8" s="192"/>
      <c r="D8" s="192"/>
      <c r="E8" s="8"/>
      <c r="F8" s="8"/>
      <c r="G8" s="177" t="s">
        <v>143</v>
      </c>
      <c r="H8" s="9"/>
      <c r="I8" s="9"/>
      <c r="J8" s="8"/>
      <c r="K8" s="8"/>
      <c r="L8" s="8"/>
      <c r="M8" s="30"/>
      <c r="N8" s="14"/>
      <c r="O8" s="30"/>
      <c r="P8" s="14"/>
      <c r="Q8" s="1" t="s">
        <v>203</v>
      </c>
    </row>
    <row r="9" spans="2:20" ht="15.75" thickBot="1" x14ac:dyDescent="0.3">
      <c r="B9" s="322" t="s">
        <v>139</v>
      </c>
      <c r="C9" s="323">
        <v>0</v>
      </c>
      <c r="D9" s="323">
        <v>0</v>
      </c>
      <c r="E9" s="98">
        <f>cal!E9</f>
        <v>75</v>
      </c>
      <c r="F9" s="248"/>
      <c r="G9" s="325" t="str">
        <f>B9</f>
        <v>Agua impulsión</v>
      </c>
      <c r="H9" s="325"/>
      <c r="I9" s="325"/>
      <c r="J9" s="325"/>
      <c r="K9" s="98">
        <f>cal!K9</f>
        <v>8</v>
      </c>
      <c r="L9" s="8"/>
      <c r="M9" s="311" t="s">
        <v>110</v>
      </c>
      <c r="N9" s="312"/>
      <c r="O9" s="8"/>
      <c r="P9" s="14"/>
      <c r="Q9" s="1" t="s">
        <v>204</v>
      </c>
    </row>
    <row r="10" spans="2:20" ht="15.75" thickTop="1" x14ac:dyDescent="0.25">
      <c r="B10" s="322" t="s">
        <v>140</v>
      </c>
      <c r="C10" s="323">
        <v>0</v>
      </c>
      <c r="D10" s="323">
        <v>0</v>
      </c>
      <c r="E10" s="98">
        <f>cal!E10</f>
        <v>65</v>
      </c>
      <c r="F10" s="248"/>
      <c r="G10" s="325" t="str">
        <f>B10</f>
        <v>Agua retorno</v>
      </c>
      <c r="H10" s="325"/>
      <c r="I10" s="325"/>
      <c r="J10" s="325"/>
      <c r="K10" s="98">
        <f>cal!K10</f>
        <v>14</v>
      </c>
      <c r="L10" s="8"/>
      <c r="M10" s="8"/>
      <c r="N10" s="14"/>
      <c r="O10" s="8"/>
      <c r="P10" s="14"/>
    </row>
    <row r="11" spans="2:20" x14ac:dyDescent="0.25">
      <c r="B11" s="322" t="s">
        <v>141</v>
      </c>
      <c r="C11" s="323">
        <v>0</v>
      </c>
      <c r="D11" s="323">
        <v>0</v>
      </c>
      <c r="E11" s="98">
        <f>cal!E11</f>
        <v>20</v>
      </c>
      <c r="F11" s="248"/>
      <c r="G11" s="325" t="str">
        <f>B11</f>
        <v>Ambiente</v>
      </c>
      <c r="H11" s="325"/>
      <c r="I11" s="325"/>
      <c r="J11" s="325"/>
      <c r="K11" s="98">
        <f>cal!K11</f>
        <v>25</v>
      </c>
      <c r="L11" s="8"/>
      <c r="M11" s="8"/>
      <c r="N11" s="14"/>
      <c r="O11" s="8"/>
      <c r="P11" s="14"/>
    </row>
    <row r="12" spans="2:20" x14ac:dyDescent="0.25">
      <c r="B12" s="15"/>
      <c r="C12" s="8"/>
      <c r="D12" s="8"/>
      <c r="E12" s="8"/>
      <c r="F12" s="8"/>
      <c r="G12" s="323" t="s">
        <v>142</v>
      </c>
      <c r="H12" s="323"/>
      <c r="I12" s="323"/>
      <c r="J12" s="324"/>
      <c r="K12" s="65">
        <f>cal!K12</f>
        <v>0.5</v>
      </c>
      <c r="L12" s="8"/>
      <c r="M12" s="8"/>
      <c r="N12" s="14"/>
      <c r="O12" s="8"/>
      <c r="P12" s="14"/>
    </row>
    <row r="13" spans="2:20" ht="6" customHeight="1" x14ac:dyDescent="0.25">
      <c r="B13" s="16"/>
      <c r="C13" s="17"/>
      <c r="D13" s="17"/>
      <c r="E13" s="17"/>
      <c r="F13" s="18"/>
      <c r="G13" s="18"/>
      <c r="H13" s="18"/>
      <c r="I13" s="18"/>
      <c r="J13" s="18"/>
      <c r="K13" s="18"/>
      <c r="L13" s="18"/>
      <c r="M13" s="18"/>
      <c r="N13" s="19"/>
      <c r="O13" s="18"/>
      <c r="P13" s="19"/>
    </row>
    <row r="14" spans="2:20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</row>
    <row r="15" spans="2:20" s="2" customFormat="1" ht="95.45" customHeight="1" x14ac:dyDescent="0.25">
      <c r="B15" s="173" t="s">
        <v>191</v>
      </c>
      <c r="C15" s="174" t="s">
        <v>144</v>
      </c>
      <c r="D15" s="173" t="str">
        <f>CONCATENATE("Emisión calefacción ",ROUND(E9,0),"/",ROUND(E10,0),"/",ROUND(E11,0)," ["&amp;IF(UnitsNo=1,"W",IF(UnitsNo=2,"Btu/h"))&amp;"]")</f>
        <v>Emisión calefacción 75/65/20 [W]</v>
      </c>
      <c r="E15" s="179" t="str">
        <f>"Caudal de agua, calefacción ["&amp;IF(1=1,"l/h",IF(UnitsNo=2,"GPM"))&amp;"]"</f>
        <v>Caudal de agua, calefacción [l/h]</v>
      </c>
      <c r="F15" s="180" t="str">
        <f>"Pérdida de carga del agua ["&amp;IF(UnitsNo=1,"kPa",IF(UnitsNo=2,"ftH2O"))&amp;"]"</f>
        <v>Pérdida de carga del agua [kPa]</v>
      </c>
      <c r="G15" s="174" t="str">
        <f>CONCATENATE("Emisión sensible Frío * ",ROUND(K9,0),"/",ROUND(K10,0),"/",ROUND(K11,0)," ["&amp;IF(UnitsNo=1,"W",IF(UnitsNo=2,"Btu/h"))&amp;"]")</f>
        <v>Emisión sensible Frío * 8/14/25 [W]</v>
      </c>
      <c r="H15" s="174" t="str">
        <f>CONCATENATE("Emisión total Frío ",ROUND(K9,0),"/",ROUND(K10,0),"/",ROUND(K11,0)," ["&amp;IF(UnitsNo=1,"W",IF(UnitsNo=2,"Btu/h"))&amp;"]")</f>
        <v>Emisión total Frío 8/14/25 [W]</v>
      </c>
      <c r="I15" s="174" t="str">
        <f>"Caudal de agua, Frío ["&amp;IF(UnitsNo=1,"l/h",IF(UnitsNo=2,"GPM"))&amp;"]"</f>
        <v>Caudal de agua, Frío [l/h]</v>
      </c>
      <c r="J15" s="174" t="str">
        <f>F15</f>
        <v>Pérdida de carga del agua [kPa]</v>
      </c>
      <c r="K15" s="173" t="s">
        <v>188</v>
      </c>
      <c r="L15" s="181" t="s">
        <v>189</v>
      </c>
      <c r="M15" s="174" t="s">
        <v>145</v>
      </c>
      <c r="N15" s="180" t="str">
        <f>"Caudal de aire ["&amp;IF(UnitsNo=1,"m³/h",IF(UnitsNo=2,"CFM"))&amp;"]"</f>
        <v>Caudal de aire [m³/h]</v>
      </c>
      <c r="O15" s="253" t="str">
        <f>"Temperatura salida de aire calefacción ["&amp;IF(UnitsNo=1,"°C",IF(UnitsNo=2,"°F"))&amp;"]"</f>
        <v>Temperatura salida de aire calefacción [°C]</v>
      </c>
      <c r="P15" s="254" t="str">
        <f>"Temperatura salida de aire refrigeración (bulbo seco) ["&amp;IF(UnitsNo=1,"°C",IF(UnitsNo=2,"°F"))&amp;"]"</f>
        <v>Temperatura salida de aire refrigeración (bulbo seco) [°C]</v>
      </c>
    </row>
    <row r="16" spans="2:20" ht="18" customHeight="1" x14ac:dyDescent="0.25">
      <c r="B16" s="319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1)"</f>
        <v>Briza 12 altura 41 cm ancho 14 cm longitud 75 cm (Type 1)</v>
      </c>
      <c r="C16" s="320"/>
      <c r="D16" s="319"/>
      <c r="E16" s="321"/>
      <c r="F16" s="320"/>
      <c r="G16" s="320"/>
      <c r="H16" s="320"/>
      <c r="I16" s="320"/>
      <c r="J16" s="320"/>
      <c r="K16" s="319"/>
      <c r="L16" s="320"/>
      <c r="M16" s="320"/>
      <c r="N16" s="321"/>
      <c r="R16" s="1" t="s">
        <v>93</v>
      </c>
      <c r="T16" s="1" t="s">
        <v>148</v>
      </c>
    </row>
    <row r="17" spans="2:20" x14ac:dyDescent="0.25">
      <c r="B17" s="35"/>
      <c r="C17" s="4"/>
      <c r="D17" s="28"/>
      <c r="E17" s="5"/>
      <c r="F17" s="32"/>
      <c r="G17" s="5"/>
      <c r="H17" s="5"/>
      <c r="I17" s="5"/>
      <c r="J17" s="6"/>
      <c r="K17" s="28"/>
      <c r="L17" s="44"/>
      <c r="M17" s="48"/>
      <c r="N17" s="36"/>
      <c r="O17" s="48"/>
      <c r="P17" s="36"/>
      <c r="R17" s="1" t="s">
        <v>146</v>
      </c>
      <c r="T17" s="1" t="s">
        <v>149</v>
      </c>
    </row>
    <row r="18" spans="2:20" x14ac:dyDescent="0.25">
      <c r="B18" s="35"/>
      <c r="C18" s="4"/>
      <c r="D18" s="28"/>
      <c r="E18" s="5"/>
      <c r="F18" s="32"/>
      <c r="G18" s="5"/>
      <c r="H18" s="5"/>
      <c r="I18" s="5"/>
      <c r="J18" s="6"/>
      <c r="K18" s="28"/>
      <c r="L18" s="44"/>
      <c r="M18" s="48"/>
      <c r="N18" s="36"/>
      <c r="O18" s="48"/>
      <c r="P18" s="36"/>
      <c r="R18" s="1" t="s">
        <v>147</v>
      </c>
      <c r="T18" s="1" t="s">
        <v>150</v>
      </c>
    </row>
    <row r="19" spans="2:20" x14ac:dyDescent="0.25">
      <c r="B19" s="35"/>
      <c r="C19" s="4"/>
      <c r="D19" s="28"/>
      <c r="E19" s="5"/>
      <c r="F19" s="32"/>
      <c r="G19" s="5"/>
      <c r="H19" s="5"/>
      <c r="I19" s="5"/>
      <c r="J19" s="6"/>
      <c r="K19" s="28"/>
      <c r="L19" s="44"/>
      <c r="M19" s="48"/>
      <c r="N19" s="36"/>
      <c r="O19" s="48"/>
      <c r="P19" s="36"/>
    </row>
    <row r="20" spans="2:20" x14ac:dyDescent="0.25">
      <c r="B20" s="35"/>
      <c r="C20" s="4"/>
      <c r="D20" s="28"/>
      <c r="E20" s="5"/>
      <c r="F20" s="32"/>
      <c r="G20" s="5"/>
      <c r="H20" s="5"/>
      <c r="I20" s="5"/>
      <c r="J20" s="6"/>
      <c r="K20" s="28"/>
      <c r="L20" s="44"/>
      <c r="M20" s="48"/>
      <c r="N20" s="36"/>
      <c r="O20" s="48"/>
      <c r="P20" s="36"/>
    </row>
    <row r="21" spans="2:20" x14ac:dyDescent="0.25">
      <c r="B21" s="35"/>
      <c r="C21" s="4"/>
      <c r="D21" s="28"/>
      <c r="E21" s="5"/>
      <c r="F21" s="32"/>
      <c r="G21" s="5"/>
      <c r="H21" s="5"/>
      <c r="I21" s="5"/>
      <c r="J21" s="6"/>
      <c r="K21" s="28"/>
      <c r="L21" s="44"/>
      <c r="M21" s="48"/>
      <c r="N21" s="36"/>
      <c r="O21" s="48"/>
      <c r="P21" s="36"/>
    </row>
    <row r="22" spans="2:20" ht="16.899999999999999" customHeight="1" x14ac:dyDescent="0.25">
      <c r="B22" s="319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2)"</f>
        <v>Briza 12 altura 41 cm ancho 14 cm longitud 95 cm (Type 2)</v>
      </c>
      <c r="C22" s="320"/>
      <c r="D22" s="319"/>
      <c r="E22" s="321"/>
      <c r="F22" s="320"/>
      <c r="G22" s="320"/>
      <c r="H22" s="320"/>
      <c r="I22" s="320"/>
      <c r="J22" s="320"/>
      <c r="K22" s="319"/>
      <c r="L22" s="320"/>
      <c r="M22" s="320"/>
      <c r="N22" s="321"/>
    </row>
    <row r="23" spans="2:20" x14ac:dyDescent="0.25">
      <c r="B23" s="35"/>
      <c r="C23" s="4"/>
      <c r="D23" s="28"/>
      <c r="E23" s="5"/>
      <c r="F23" s="32"/>
      <c r="G23" s="5"/>
      <c r="H23" s="5"/>
      <c r="I23" s="5"/>
      <c r="J23" s="6"/>
      <c r="K23" s="28"/>
      <c r="L23" s="44"/>
      <c r="M23" s="48"/>
      <c r="N23" s="36"/>
      <c r="O23" s="48"/>
      <c r="P23" s="36"/>
    </row>
    <row r="24" spans="2:20" x14ac:dyDescent="0.25">
      <c r="B24" s="35"/>
      <c r="C24" s="4"/>
      <c r="D24" s="28"/>
      <c r="E24" s="5"/>
      <c r="F24" s="32"/>
      <c r="G24" s="5"/>
      <c r="H24" s="5"/>
      <c r="I24" s="5"/>
      <c r="J24" s="6"/>
      <c r="K24" s="28"/>
      <c r="L24" s="44"/>
      <c r="M24" s="48"/>
      <c r="N24" s="36"/>
      <c r="O24" s="48"/>
      <c r="P24" s="36"/>
    </row>
    <row r="25" spans="2:20" x14ac:dyDescent="0.25">
      <c r="B25" s="35"/>
      <c r="C25" s="4"/>
      <c r="D25" s="28"/>
      <c r="E25" s="5"/>
      <c r="F25" s="32"/>
      <c r="G25" s="5"/>
      <c r="H25" s="5"/>
      <c r="I25" s="5"/>
      <c r="J25" s="6"/>
      <c r="K25" s="28"/>
      <c r="L25" s="44"/>
      <c r="M25" s="48"/>
      <c r="N25" s="36"/>
      <c r="O25" s="48"/>
      <c r="P25" s="36"/>
    </row>
    <row r="26" spans="2:20" x14ac:dyDescent="0.25">
      <c r="B26" s="35"/>
      <c r="C26" s="4"/>
      <c r="D26" s="28"/>
      <c r="E26" s="5"/>
      <c r="F26" s="32"/>
      <c r="G26" s="5"/>
      <c r="H26" s="5"/>
      <c r="I26" s="5"/>
      <c r="J26" s="6"/>
      <c r="K26" s="28"/>
      <c r="L26" s="44"/>
      <c r="M26" s="48"/>
      <c r="N26" s="36"/>
      <c r="O26" s="48"/>
      <c r="P26" s="36"/>
    </row>
    <row r="27" spans="2:20" x14ac:dyDescent="0.25">
      <c r="B27" s="35"/>
      <c r="C27" s="4"/>
      <c r="D27" s="28"/>
      <c r="E27" s="5"/>
      <c r="F27" s="32"/>
      <c r="G27" s="5"/>
      <c r="H27" s="5"/>
      <c r="I27" s="5"/>
      <c r="J27" s="6"/>
      <c r="K27" s="28"/>
      <c r="L27" s="44"/>
      <c r="M27" s="48"/>
      <c r="N27" s="36"/>
      <c r="O27" s="48"/>
      <c r="P27" s="36"/>
    </row>
    <row r="28" spans="2:20" ht="18" customHeight="1" x14ac:dyDescent="0.25">
      <c r="B28" s="319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Briza 12 altura 41 cm ancho 14 cm longitud 125 cm (Type 3)</v>
      </c>
      <c r="C28" s="320"/>
      <c r="D28" s="319"/>
      <c r="E28" s="321"/>
      <c r="F28" s="320"/>
      <c r="G28" s="320"/>
      <c r="H28" s="320"/>
      <c r="I28" s="320"/>
      <c r="J28" s="320"/>
      <c r="K28" s="319"/>
      <c r="L28" s="320"/>
      <c r="M28" s="320"/>
      <c r="N28" s="321"/>
    </row>
    <row r="29" spans="2:20" x14ac:dyDescent="0.25">
      <c r="B29" s="35"/>
      <c r="C29" s="4"/>
      <c r="D29" s="28"/>
      <c r="E29" s="5"/>
      <c r="F29" s="32"/>
      <c r="G29" s="5"/>
      <c r="H29" s="5"/>
      <c r="I29" s="5"/>
      <c r="J29" s="6"/>
      <c r="K29" s="28"/>
      <c r="L29" s="44"/>
      <c r="M29" s="48"/>
      <c r="N29" s="36"/>
      <c r="O29" s="48"/>
      <c r="P29" s="36"/>
    </row>
    <row r="30" spans="2:20" x14ac:dyDescent="0.25">
      <c r="B30" s="35"/>
      <c r="C30" s="4"/>
      <c r="D30" s="28"/>
      <c r="E30" s="5"/>
      <c r="F30" s="32"/>
      <c r="G30" s="5"/>
      <c r="H30" s="5"/>
      <c r="I30" s="5"/>
      <c r="J30" s="6"/>
      <c r="K30" s="28"/>
      <c r="L30" s="44"/>
      <c r="M30" s="48"/>
      <c r="N30" s="36"/>
      <c r="O30" s="48"/>
      <c r="P30" s="36"/>
    </row>
    <row r="31" spans="2:20" x14ac:dyDescent="0.25">
      <c r="B31" s="35"/>
      <c r="C31" s="4"/>
      <c r="D31" s="28"/>
      <c r="E31" s="5"/>
      <c r="F31" s="32"/>
      <c r="G31" s="5"/>
      <c r="H31" s="5"/>
      <c r="I31" s="5"/>
      <c r="J31" s="6"/>
      <c r="K31" s="28"/>
      <c r="L31" s="44"/>
      <c r="M31" s="48"/>
      <c r="N31" s="36"/>
      <c r="O31" s="48"/>
      <c r="P31" s="36"/>
    </row>
    <row r="32" spans="2:20" x14ac:dyDescent="0.25">
      <c r="B32" s="35"/>
      <c r="C32" s="4"/>
      <c r="D32" s="28"/>
      <c r="E32" s="5"/>
      <c r="F32" s="32"/>
      <c r="G32" s="5"/>
      <c r="H32" s="5"/>
      <c r="I32" s="5"/>
      <c r="J32" s="6"/>
      <c r="K32" s="28"/>
      <c r="L32" s="44"/>
      <c r="M32" s="48"/>
      <c r="N32" s="36"/>
      <c r="O32" s="48"/>
      <c r="P32" s="36"/>
    </row>
    <row r="33" spans="2:16" x14ac:dyDescent="0.25">
      <c r="B33" s="35"/>
      <c r="C33" s="4"/>
      <c r="D33" s="28"/>
      <c r="E33" s="5"/>
      <c r="F33" s="32"/>
      <c r="G33" s="5"/>
      <c r="H33" s="5"/>
      <c r="I33" s="5"/>
      <c r="J33" s="6"/>
      <c r="K33" s="28"/>
      <c r="L33" s="44"/>
      <c r="M33" s="48"/>
      <c r="N33" s="36"/>
      <c r="O33" s="48"/>
      <c r="P33" s="36"/>
    </row>
    <row r="34" spans="2:16" ht="16.899999999999999" customHeight="1" x14ac:dyDescent="0.25">
      <c r="B34" s="319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Briza 12 altura 41 cm ancho 14 cm longitud 145 cm (Type 4)</v>
      </c>
      <c r="C34" s="320"/>
      <c r="D34" s="319"/>
      <c r="E34" s="321"/>
      <c r="F34" s="320"/>
      <c r="G34" s="320"/>
      <c r="H34" s="320"/>
      <c r="I34" s="320"/>
      <c r="J34" s="320"/>
      <c r="K34" s="319"/>
      <c r="L34" s="320"/>
      <c r="M34" s="320"/>
      <c r="N34" s="321"/>
    </row>
    <row r="35" spans="2:16" x14ac:dyDescent="0.25">
      <c r="B35" s="35"/>
      <c r="C35" s="4"/>
      <c r="D35" s="28"/>
      <c r="E35" s="5"/>
      <c r="F35" s="32"/>
      <c r="G35" s="5"/>
      <c r="H35" s="5"/>
      <c r="I35" s="5"/>
      <c r="J35" s="6"/>
      <c r="K35" s="28"/>
      <c r="L35" s="44"/>
      <c r="M35" s="48"/>
      <c r="N35" s="36"/>
      <c r="O35" s="48"/>
      <c r="P35" s="36"/>
    </row>
    <row r="36" spans="2:16" x14ac:dyDescent="0.25">
      <c r="B36" s="35"/>
      <c r="C36" s="4"/>
      <c r="D36" s="28"/>
      <c r="E36" s="5"/>
      <c r="F36" s="32"/>
      <c r="G36" s="5"/>
      <c r="H36" s="5"/>
      <c r="I36" s="5"/>
      <c r="J36" s="6"/>
      <c r="K36" s="28"/>
      <c r="L36" s="44"/>
      <c r="M36" s="48"/>
      <c r="N36" s="36"/>
      <c r="O36" s="48"/>
      <c r="P36" s="36"/>
    </row>
    <row r="37" spans="2:16" x14ac:dyDescent="0.25">
      <c r="B37" s="35"/>
      <c r="C37" s="4"/>
      <c r="D37" s="28"/>
      <c r="E37" s="5"/>
      <c r="F37" s="32"/>
      <c r="G37" s="5"/>
      <c r="H37" s="5"/>
      <c r="I37" s="5"/>
      <c r="J37" s="6"/>
      <c r="K37" s="28"/>
      <c r="L37" s="44"/>
      <c r="M37" s="48"/>
      <c r="N37" s="36"/>
      <c r="O37" s="48"/>
      <c r="P37" s="36"/>
    </row>
    <row r="38" spans="2:16" x14ac:dyDescent="0.25">
      <c r="B38" s="35"/>
      <c r="C38" s="4"/>
      <c r="D38" s="28"/>
      <c r="E38" s="5"/>
      <c r="F38" s="32"/>
      <c r="G38" s="5"/>
      <c r="H38" s="5"/>
      <c r="I38" s="5"/>
      <c r="J38" s="6"/>
      <c r="K38" s="28"/>
      <c r="L38" s="44"/>
      <c r="M38" s="48"/>
      <c r="N38" s="36"/>
      <c r="O38" s="48"/>
      <c r="P38" s="36"/>
    </row>
    <row r="39" spans="2:16" x14ac:dyDescent="0.25">
      <c r="B39" s="37"/>
      <c r="C39" s="38"/>
      <c r="D39" s="39"/>
      <c r="E39" s="40"/>
      <c r="F39" s="41"/>
      <c r="G39" s="40"/>
      <c r="H39" s="40"/>
      <c r="I39" s="40"/>
      <c r="J39" s="42"/>
      <c r="K39" s="39"/>
      <c r="L39" s="45"/>
      <c r="M39" s="48"/>
      <c r="N39" s="43"/>
      <c r="O39" s="48"/>
      <c r="P39" s="43"/>
    </row>
    <row r="40" spans="2:16" ht="9.4" customHeight="1" x14ac:dyDescent="0.25">
      <c r="B40" s="255" t="s">
        <v>151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49"/>
      <c r="N40" s="47" t="str">
        <f>cal!P40</f>
        <v>v2021-04-26</v>
      </c>
      <c r="O40" s="49"/>
      <c r="P40" s="47"/>
    </row>
    <row r="41" spans="2:16" ht="9.4" customHeight="1" x14ac:dyDescent="0.25">
      <c r="B41" s="255" t="s">
        <v>152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2:16" ht="9.4" customHeight="1" x14ac:dyDescent="0.25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2:16" s="3" customFormat="1" ht="16.149999999999999" hidden="1" customHeight="1" x14ac:dyDescent="0.25"/>
    <row r="44" spans="2:16" x14ac:dyDescent="0.25"/>
    <row r="45" spans="2:16" x14ac:dyDescent="0.25"/>
    <row r="46" spans="2:16" x14ac:dyDescent="0.25"/>
    <row r="47" spans="2:16" x14ac:dyDescent="0.25"/>
    <row r="48" spans="2:16" x14ac:dyDescent="0.25"/>
    <row r="49" x14ac:dyDescent="0.25"/>
  </sheetData>
  <sheetProtection selectLockedCells="1"/>
  <mergeCells count="14">
    <mergeCell ref="B34:N34"/>
    <mergeCell ref="M9:N9"/>
    <mergeCell ref="B11:D11"/>
    <mergeCell ref="G11:J11"/>
    <mergeCell ref="G12:J12"/>
    <mergeCell ref="B16:N16"/>
    <mergeCell ref="B22:N22"/>
    <mergeCell ref="B28:N28"/>
    <mergeCell ref="H4:K4"/>
    <mergeCell ref="H5:K5"/>
    <mergeCell ref="B9:D9"/>
    <mergeCell ref="G9:J9"/>
    <mergeCell ref="B10:D10"/>
    <mergeCell ref="G10:J10"/>
  </mergeCells>
  <dataValidations count="7">
    <dataValidation type="whole" errorStyle="information" allowBlank="1" showErrorMessage="1" error="Eingabe außerhalb des gültigen Bereichs." prompt="20°C bis 35°C" sqref="K11">
      <formula1>20</formula1>
      <formula2>35</formula2>
    </dataValidation>
    <dataValidation type="whole" errorStyle="information" allowBlank="1" showErrorMessage="1" error="Eingabe außerhalb des gültigen Bereichs." prompt="Eingabe zwischen 16°C bis 30°C" sqref="E11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E10">
      <formula1>E11</formula1>
      <formula2>E9</formula2>
    </dataValidation>
    <dataValidation type="whole" errorStyle="information" allowBlank="1" showErrorMessage="1" error="Temperatur außerhalb des gütligen Bereichs." prompt="Eingabe zwischen 30°C bis 95°C" sqref="E9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K10">
      <formula1>K9</formula1>
      <formula2>K11</formula2>
    </dataValidation>
    <dataValidation type="whole" errorStyle="information" allowBlank="1" showErrorMessage="1" error="Eingabe außerhalb des gültigen Bereichs." prompt="Eingabe zwischen 5°C bis 20°C" sqref="K9">
      <formula1>5</formula1>
      <formula2>20</formula2>
    </dataValidation>
    <dataValidation type="decimal" errorStyle="information" allowBlank="1" showErrorMessage="1" error="Eingabe außerhalb des gültigen Bereichs." prompt="20°C bis 35°C" sqref="K12">
      <formula1>0.01</formula1>
      <formula2>1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9"/>
  <dimension ref="B1:T49"/>
  <sheetViews>
    <sheetView workbookViewId="0">
      <selection activeCell="K2" sqref="K2:L2"/>
    </sheetView>
  </sheetViews>
  <sheetFormatPr defaultColWidth="5.7109375" defaultRowHeight="15" zeroHeight="1" x14ac:dyDescent="0.25"/>
  <cols>
    <col min="1" max="1" width="5.7109375" style="1"/>
    <col min="2" max="2" width="7" style="1" customWidth="1"/>
    <col min="3" max="3" width="6.140625" style="1" customWidth="1"/>
    <col min="4" max="4" width="7" style="1" customWidth="1"/>
    <col min="5" max="5" width="6.7109375" style="1" customWidth="1"/>
    <col min="6" max="16" width="7" style="1" customWidth="1"/>
    <col min="17" max="16384" width="5.7109375" style="1"/>
  </cols>
  <sheetData>
    <row r="1" spans="2:20" x14ac:dyDescent="0.25"/>
    <row r="2" spans="2:20" s="3" customFormat="1" x14ac:dyDescent="0.25">
      <c r="B2" s="22"/>
    </row>
    <row r="3" spans="2:20" s="3" customFormat="1" x14ac:dyDescent="0.25">
      <c r="B3" s="24" t="s">
        <v>19</v>
      </c>
      <c r="C3" s="23"/>
    </row>
    <row r="4" spans="2:20" s="3" customFormat="1" x14ac:dyDescent="0.25">
      <c r="B4" s="22"/>
      <c r="H4" s="326" t="s">
        <v>88</v>
      </c>
      <c r="I4" s="327">
        <v>0</v>
      </c>
      <c r="J4" s="327">
        <v>0</v>
      </c>
      <c r="K4" s="328">
        <v>0</v>
      </c>
    </row>
    <row r="5" spans="2:20" s="3" customFormat="1" x14ac:dyDescent="0.25">
      <c r="B5" s="29" t="s">
        <v>17</v>
      </c>
      <c r="H5" s="326" t="s">
        <v>89</v>
      </c>
      <c r="I5" s="327">
        <v>0</v>
      </c>
      <c r="J5" s="327">
        <v>0</v>
      </c>
      <c r="K5" s="328">
        <v>0</v>
      </c>
    </row>
    <row r="6" spans="2:20" s="3" customFormat="1" ht="6" customHeigh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1"/>
      <c r="P6" s="12"/>
    </row>
    <row r="7" spans="2:20" x14ac:dyDescent="0.25">
      <c r="B7" s="176" t="s">
        <v>77</v>
      </c>
      <c r="C7" s="192"/>
      <c r="D7" s="192"/>
      <c r="E7" s="8"/>
      <c r="F7" s="8"/>
      <c r="G7" s="8"/>
      <c r="H7" s="8"/>
      <c r="I7" s="8"/>
      <c r="J7" s="8"/>
      <c r="K7" s="8"/>
      <c r="L7" s="8"/>
      <c r="M7" s="8"/>
      <c r="N7" s="14"/>
      <c r="O7" s="8"/>
      <c r="P7" s="14"/>
      <c r="Q7" s="1" t="s">
        <v>199</v>
      </c>
    </row>
    <row r="8" spans="2:20" x14ac:dyDescent="0.25">
      <c r="B8" s="176" t="s">
        <v>162</v>
      </c>
      <c r="C8" s="192"/>
      <c r="D8" s="192"/>
      <c r="E8" s="8"/>
      <c r="F8" s="8"/>
      <c r="G8" s="9" t="s">
        <v>163</v>
      </c>
      <c r="H8" s="9"/>
      <c r="I8" s="9"/>
      <c r="J8" s="8"/>
      <c r="K8" s="8"/>
      <c r="L8" s="8"/>
      <c r="M8" s="30"/>
      <c r="N8" s="14"/>
      <c r="O8" s="30"/>
      <c r="P8" s="14"/>
      <c r="Q8" s="1" t="s">
        <v>200</v>
      </c>
    </row>
    <row r="9" spans="2:20" ht="15.75" thickBot="1" x14ac:dyDescent="0.3">
      <c r="B9" s="322" t="s">
        <v>164</v>
      </c>
      <c r="C9" s="323"/>
      <c r="D9" s="323"/>
      <c r="E9" s="98">
        <f>cal!E9</f>
        <v>75</v>
      </c>
      <c r="F9" s="262"/>
      <c r="G9" s="325" t="str">
        <f>B9</f>
        <v>Tillopp</v>
      </c>
      <c r="H9" s="325"/>
      <c r="I9" s="325"/>
      <c r="J9" s="325"/>
      <c r="K9" s="98">
        <f>cal!K9</f>
        <v>8</v>
      </c>
      <c r="L9" s="8"/>
      <c r="M9" s="311" t="s">
        <v>109</v>
      </c>
      <c r="N9" s="312"/>
      <c r="O9" s="8"/>
      <c r="P9" s="14"/>
      <c r="Q9" s="1" t="s">
        <v>201</v>
      </c>
    </row>
    <row r="10" spans="2:20" ht="15.75" thickTop="1" x14ac:dyDescent="0.25">
      <c r="B10" s="322" t="s">
        <v>165</v>
      </c>
      <c r="C10" s="323"/>
      <c r="D10" s="323"/>
      <c r="E10" s="98">
        <f>cal!E10</f>
        <v>65</v>
      </c>
      <c r="F10" s="262"/>
      <c r="G10" s="325" t="str">
        <f>B10</f>
        <v>Retur</v>
      </c>
      <c r="H10" s="325"/>
      <c r="I10" s="325"/>
      <c r="J10" s="325"/>
      <c r="K10" s="98">
        <f>cal!K10</f>
        <v>14</v>
      </c>
      <c r="L10" s="8"/>
      <c r="M10" s="8"/>
      <c r="N10" s="14"/>
      <c r="O10" s="8"/>
      <c r="P10" s="14"/>
    </row>
    <row r="11" spans="2:20" x14ac:dyDescent="0.25">
      <c r="B11" s="251" t="s">
        <v>166</v>
      </c>
      <c r="C11" s="252"/>
      <c r="D11" s="252"/>
      <c r="E11" s="98">
        <f>cal!E11</f>
        <v>20</v>
      </c>
      <c r="F11" s="262"/>
      <c r="G11" s="325" t="str">
        <f>B11</f>
        <v>Rum (torr)</v>
      </c>
      <c r="H11" s="325"/>
      <c r="I11" s="325"/>
      <c r="J11" s="325"/>
      <c r="K11" s="98">
        <f>cal!K11</f>
        <v>25</v>
      </c>
      <c r="L11" s="8"/>
      <c r="M11" s="8"/>
      <c r="N11" s="14"/>
      <c r="O11" s="8"/>
      <c r="P11" s="14"/>
    </row>
    <row r="12" spans="2:20" x14ac:dyDescent="0.25">
      <c r="B12" s="15"/>
      <c r="C12" s="8"/>
      <c r="D12" s="8"/>
      <c r="E12" s="8"/>
      <c r="F12" s="8"/>
      <c r="G12" s="192" t="s">
        <v>167</v>
      </c>
      <c r="H12" s="8"/>
      <c r="I12" s="8"/>
      <c r="J12" s="8"/>
      <c r="K12" s="65">
        <f>cal!K12</f>
        <v>0.5</v>
      </c>
      <c r="L12" s="8"/>
      <c r="M12" s="8"/>
      <c r="N12" s="14"/>
      <c r="O12" s="8"/>
      <c r="P12" s="14"/>
    </row>
    <row r="13" spans="2:20" ht="6" customHeight="1" x14ac:dyDescent="0.25">
      <c r="B13" s="16"/>
      <c r="C13" s="17"/>
      <c r="D13" s="17"/>
      <c r="E13" s="17"/>
      <c r="F13" s="18"/>
      <c r="G13" s="18"/>
      <c r="H13" s="18"/>
      <c r="I13" s="18"/>
      <c r="J13" s="18"/>
      <c r="K13" s="18"/>
      <c r="L13" s="18"/>
      <c r="M13" s="18"/>
      <c r="N13" s="19"/>
      <c r="O13" s="18"/>
      <c r="P13" s="19"/>
    </row>
    <row r="14" spans="2:20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</row>
    <row r="15" spans="2:20" s="2" customFormat="1" ht="95.45" customHeight="1" x14ac:dyDescent="0.25">
      <c r="B15" s="27" t="s">
        <v>192</v>
      </c>
      <c r="C15" s="20" t="s">
        <v>168</v>
      </c>
      <c r="D15" s="27" t="str">
        <f>CONCATENATE("Värme effekt  ",ROUND(E9,0),"/",ROUND(E10,0),"/",ROUND(E11,0)," ["&amp;IF(cal!$W$4=1,"W",IF(cal!$W$4=2,"Btu/h"))&amp;"]")</f>
        <v>Värme effekt  75/65/20 [W]</v>
      </c>
      <c r="E15" s="31" t="str">
        <f>"Vattenflöde, värme ["&amp;IF(cal!$W$4=1,"l/h",IF(cal!$W$4=2,"GPM"))&amp;"]"</f>
        <v>Vattenflöde, värme [l/h]</v>
      </c>
      <c r="F15" s="34" t="str">
        <f>"Tryckfall, vatten ["&amp;IF(cal!$W$4=1,"kPa",IF(cal!$W$4=2,"inH2O"))&amp;"]"</f>
        <v>Tryckfall, vatten [kPa]</v>
      </c>
      <c r="G15" s="20" t="str">
        <f>CONCATENATE("Märkbar kylkapacitet  ",ROUND(K9,0),"/",ROUND(K10,0),"/",ROUND(K11,0)," ["&amp;IF(cal!$W$4=1,"W",IF(cal!$W$4=2,"Btu/h"))&amp;"]")</f>
        <v>Märkbar kylkapacitet  8/14/25 [W]</v>
      </c>
      <c r="H15" s="20" t="str">
        <f>CONCATENATE("Total kylkapacitet ",ROUND(K9,0),"/",ROUND(K10,0),"/",ROUND(K11,0)," ["&amp;IF(cal!$W$4=1,"W",IF(cal!$W$4=2,"Btu/h"))&amp;"]")</f>
        <v>Total kylkapacitet 8/14/25 [W]</v>
      </c>
      <c r="I15" s="20" t="str">
        <f>"Vattenflöde, kyla ["&amp;IF(cal!$W$4=1,"l/h",IF(cal!$W$4=2,"GPM"))&amp;"]"</f>
        <v>Vattenflöde, kyla [l/h]</v>
      </c>
      <c r="J15" s="21" t="str">
        <f>F15</f>
        <v>Tryckfall, vatten [kPa]</v>
      </c>
      <c r="K15" s="27" t="s">
        <v>224</v>
      </c>
      <c r="L15" s="33" t="s">
        <v>225</v>
      </c>
      <c r="M15" s="20" t="s">
        <v>226</v>
      </c>
      <c r="N15" s="26" t="str">
        <f>"Luftflöde ["&amp;IF(cal!$W$4=1,"m³/h",IF(cal!$W$4=2,"CFM"))&amp;"]"</f>
        <v>Luftflöde [m³/h]</v>
      </c>
      <c r="O15" s="20" t="str">
        <f>"Luftavgassystemets värming  ["&amp;IF(cal!$W$4=1,"°C",IF(cal!$W$4=2,"°F"))&amp;"]"</f>
        <v>Luftavgassystemets värming  [°C]</v>
      </c>
      <c r="P15" s="20" t="str">
        <f>"Luftavgassystemets kylning  ["&amp;IF(cal!$W$4=1,"°C",IF(cal!$W$4=2,"°F"))&amp;"]"</f>
        <v>Luftavgassystemets kylning  [°C]</v>
      </c>
    </row>
    <row r="16" spans="2:20" ht="18" customHeight="1" x14ac:dyDescent="0.25">
      <c r="B16" s="319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 1)"</f>
        <v>Briza 12 höjd 41 cm djup 14 cm längd 75 cm (Typ 1)</v>
      </c>
      <c r="C16" s="320"/>
      <c r="D16" s="319"/>
      <c r="E16" s="321"/>
      <c r="F16" s="320"/>
      <c r="G16" s="320"/>
      <c r="H16" s="320"/>
      <c r="I16" s="320"/>
      <c r="J16" s="320"/>
      <c r="K16" s="319"/>
      <c r="L16" s="320"/>
      <c r="M16" s="320"/>
      <c r="N16" s="321"/>
      <c r="R16" s="1" t="s">
        <v>93</v>
      </c>
      <c r="T16" s="197" t="s">
        <v>219</v>
      </c>
    </row>
    <row r="17" spans="2:20" x14ac:dyDescent="0.25">
      <c r="B17" s="35"/>
      <c r="C17" s="4"/>
      <c r="D17" s="28"/>
      <c r="E17" s="5"/>
      <c r="F17" s="32"/>
      <c r="G17" s="5"/>
      <c r="H17" s="5"/>
      <c r="I17" s="5"/>
      <c r="J17" s="6"/>
      <c r="K17" s="28"/>
      <c r="L17" s="44"/>
      <c r="M17" s="48"/>
      <c r="N17" s="36"/>
      <c r="O17" s="48"/>
      <c r="P17" s="36"/>
      <c r="R17" s="1" t="s">
        <v>222</v>
      </c>
      <c r="T17" s="197" t="s">
        <v>220</v>
      </c>
    </row>
    <row r="18" spans="2:20" x14ac:dyDescent="0.25">
      <c r="B18" s="35"/>
      <c r="C18" s="4"/>
      <c r="D18" s="28"/>
      <c r="E18" s="5"/>
      <c r="F18" s="32"/>
      <c r="G18" s="5"/>
      <c r="H18" s="5"/>
      <c r="I18" s="5"/>
      <c r="J18" s="6"/>
      <c r="K18" s="28"/>
      <c r="L18" s="44"/>
      <c r="M18" s="48"/>
      <c r="N18" s="36"/>
      <c r="O18" s="48"/>
      <c r="P18" s="36"/>
      <c r="R18" s="1" t="s">
        <v>223</v>
      </c>
      <c r="T18" s="197" t="s">
        <v>221</v>
      </c>
    </row>
    <row r="19" spans="2:20" x14ac:dyDescent="0.25">
      <c r="B19" s="35"/>
      <c r="C19" s="4"/>
      <c r="D19" s="28"/>
      <c r="E19" s="5"/>
      <c r="F19" s="32"/>
      <c r="G19" s="5"/>
      <c r="H19" s="5"/>
      <c r="I19" s="5"/>
      <c r="J19" s="6"/>
      <c r="K19" s="28"/>
      <c r="L19" s="44"/>
      <c r="M19" s="48"/>
      <c r="N19" s="36"/>
      <c r="O19" s="48"/>
      <c r="P19" s="36"/>
    </row>
    <row r="20" spans="2:20" x14ac:dyDescent="0.25">
      <c r="B20" s="35"/>
      <c r="C20" s="4"/>
      <c r="D20" s="28"/>
      <c r="E20" s="5"/>
      <c r="F20" s="32"/>
      <c r="G20" s="5"/>
      <c r="H20" s="5"/>
      <c r="I20" s="5"/>
      <c r="J20" s="6"/>
      <c r="K20" s="28"/>
      <c r="L20" s="44"/>
      <c r="M20" s="48"/>
      <c r="N20" s="36"/>
      <c r="O20" s="48"/>
      <c r="P20" s="36"/>
    </row>
    <row r="21" spans="2:20" x14ac:dyDescent="0.25">
      <c r="B21" s="35"/>
      <c r="C21" s="4"/>
      <c r="D21" s="28"/>
      <c r="E21" s="5"/>
      <c r="F21" s="32"/>
      <c r="G21" s="5"/>
      <c r="H21" s="5"/>
      <c r="I21" s="5"/>
      <c r="J21" s="6"/>
      <c r="K21" s="28"/>
      <c r="L21" s="44"/>
      <c r="M21" s="48"/>
      <c r="N21" s="36"/>
      <c r="O21" s="48"/>
      <c r="P21" s="36"/>
    </row>
    <row r="22" spans="2:20" ht="16.899999999999999" customHeight="1" x14ac:dyDescent="0.25">
      <c r="B22" s="319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 2)"</f>
        <v>Briza 12 höjd 41 cm djup 14 cm längd 95 cm (Typ 2)</v>
      </c>
      <c r="C22" s="320"/>
      <c r="D22" s="319"/>
      <c r="E22" s="321"/>
      <c r="F22" s="320"/>
      <c r="G22" s="320"/>
      <c r="H22" s="320"/>
      <c r="I22" s="320"/>
      <c r="J22" s="320"/>
      <c r="K22" s="319"/>
      <c r="L22" s="320"/>
      <c r="M22" s="320"/>
      <c r="N22" s="321"/>
    </row>
    <row r="23" spans="2:20" x14ac:dyDescent="0.25">
      <c r="B23" s="35"/>
      <c r="C23" s="4"/>
      <c r="D23" s="28"/>
      <c r="E23" s="5"/>
      <c r="F23" s="32"/>
      <c r="G23" s="5"/>
      <c r="H23" s="5"/>
      <c r="I23" s="5"/>
      <c r="J23" s="6"/>
      <c r="K23" s="28"/>
      <c r="L23" s="44"/>
      <c r="M23" s="48"/>
      <c r="N23" s="36"/>
      <c r="O23" s="48"/>
      <c r="P23" s="36"/>
    </row>
    <row r="24" spans="2:20" x14ac:dyDescent="0.25">
      <c r="B24" s="35"/>
      <c r="C24" s="4"/>
      <c r="D24" s="28"/>
      <c r="E24" s="5"/>
      <c r="F24" s="32"/>
      <c r="G24" s="5"/>
      <c r="H24" s="5"/>
      <c r="I24" s="5"/>
      <c r="J24" s="6"/>
      <c r="K24" s="28"/>
      <c r="L24" s="44"/>
      <c r="M24" s="48"/>
      <c r="N24" s="36"/>
      <c r="O24" s="48"/>
      <c r="P24" s="36"/>
    </row>
    <row r="25" spans="2:20" x14ac:dyDescent="0.25">
      <c r="B25" s="35"/>
      <c r="C25" s="4"/>
      <c r="D25" s="28"/>
      <c r="E25" s="5"/>
      <c r="F25" s="32"/>
      <c r="G25" s="5"/>
      <c r="H25" s="5"/>
      <c r="I25" s="5"/>
      <c r="J25" s="6"/>
      <c r="K25" s="28"/>
      <c r="L25" s="44"/>
      <c r="M25" s="48"/>
      <c r="N25" s="36"/>
      <c r="O25" s="48"/>
      <c r="P25" s="36"/>
    </row>
    <row r="26" spans="2:20" x14ac:dyDescent="0.25">
      <c r="B26" s="35"/>
      <c r="C26" s="4"/>
      <c r="D26" s="28"/>
      <c r="E26" s="5"/>
      <c r="F26" s="32"/>
      <c r="G26" s="5"/>
      <c r="H26" s="5"/>
      <c r="I26" s="5"/>
      <c r="J26" s="6"/>
      <c r="K26" s="28"/>
      <c r="L26" s="44"/>
      <c r="M26" s="48"/>
      <c r="N26" s="36"/>
      <c r="O26" s="48"/>
      <c r="P26" s="36"/>
    </row>
    <row r="27" spans="2:20" x14ac:dyDescent="0.25">
      <c r="B27" s="35"/>
      <c r="C27" s="4"/>
      <c r="D27" s="28"/>
      <c r="E27" s="5"/>
      <c r="F27" s="32"/>
      <c r="G27" s="5"/>
      <c r="H27" s="5"/>
      <c r="I27" s="5"/>
      <c r="J27" s="6"/>
      <c r="K27" s="28"/>
      <c r="L27" s="44"/>
      <c r="M27" s="48"/>
      <c r="N27" s="36"/>
      <c r="O27" s="48"/>
      <c r="P27" s="36"/>
    </row>
    <row r="28" spans="2:20" ht="18" customHeight="1" x14ac:dyDescent="0.25">
      <c r="B28" s="319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 3)"</f>
        <v>Briza 12 höjd 41 cm djup 14 cm längd 125 cm (Typ 3)</v>
      </c>
      <c r="C28" s="320"/>
      <c r="D28" s="319"/>
      <c r="E28" s="321"/>
      <c r="F28" s="320"/>
      <c r="G28" s="320"/>
      <c r="H28" s="320"/>
      <c r="I28" s="320"/>
      <c r="J28" s="320"/>
      <c r="K28" s="319"/>
      <c r="L28" s="320"/>
      <c r="M28" s="320"/>
      <c r="N28" s="321"/>
    </row>
    <row r="29" spans="2:20" x14ac:dyDescent="0.25">
      <c r="B29" s="35"/>
      <c r="C29" s="4"/>
      <c r="D29" s="28"/>
      <c r="E29" s="5"/>
      <c r="F29" s="32"/>
      <c r="G29" s="5"/>
      <c r="H29" s="5"/>
      <c r="I29" s="5"/>
      <c r="J29" s="6"/>
      <c r="K29" s="28"/>
      <c r="L29" s="44"/>
      <c r="M29" s="48"/>
      <c r="N29" s="36"/>
      <c r="O29" s="48"/>
      <c r="P29" s="36"/>
    </row>
    <row r="30" spans="2:20" x14ac:dyDescent="0.25">
      <c r="B30" s="35"/>
      <c r="C30" s="4"/>
      <c r="D30" s="28"/>
      <c r="E30" s="5"/>
      <c r="F30" s="32"/>
      <c r="G30" s="5"/>
      <c r="H30" s="5"/>
      <c r="I30" s="5"/>
      <c r="J30" s="6"/>
      <c r="K30" s="28"/>
      <c r="L30" s="44"/>
      <c r="M30" s="48"/>
      <c r="N30" s="36"/>
      <c r="O30" s="48"/>
      <c r="P30" s="36"/>
    </row>
    <row r="31" spans="2:20" x14ac:dyDescent="0.25">
      <c r="B31" s="35"/>
      <c r="C31" s="4"/>
      <c r="D31" s="28"/>
      <c r="E31" s="5"/>
      <c r="F31" s="32"/>
      <c r="G31" s="5"/>
      <c r="H31" s="5"/>
      <c r="I31" s="5"/>
      <c r="J31" s="6"/>
      <c r="K31" s="28"/>
      <c r="L31" s="44"/>
      <c r="M31" s="48"/>
      <c r="N31" s="36"/>
      <c r="O31" s="48"/>
      <c r="P31" s="36"/>
    </row>
    <row r="32" spans="2:20" x14ac:dyDescent="0.25">
      <c r="B32" s="35"/>
      <c r="C32" s="4"/>
      <c r="D32" s="28"/>
      <c r="E32" s="5"/>
      <c r="F32" s="32"/>
      <c r="G32" s="5"/>
      <c r="H32" s="5"/>
      <c r="I32" s="5"/>
      <c r="J32" s="6"/>
      <c r="K32" s="28"/>
      <c r="L32" s="44"/>
      <c r="M32" s="48"/>
      <c r="N32" s="36"/>
      <c r="O32" s="48"/>
      <c r="P32" s="36"/>
    </row>
    <row r="33" spans="2:16" x14ac:dyDescent="0.25">
      <c r="B33" s="35"/>
      <c r="C33" s="4"/>
      <c r="D33" s="28"/>
      <c r="E33" s="5"/>
      <c r="F33" s="32"/>
      <c r="G33" s="5"/>
      <c r="H33" s="5"/>
      <c r="I33" s="5"/>
      <c r="J33" s="6"/>
      <c r="K33" s="28"/>
      <c r="L33" s="44"/>
      <c r="M33" s="48"/>
      <c r="N33" s="36"/>
      <c r="O33" s="48"/>
      <c r="P33" s="36"/>
    </row>
    <row r="34" spans="2:16" ht="16.899999999999999" customHeight="1" x14ac:dyDescent="0.25">
      <c r="B34" s="319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 4)"</f>
        <v>Briza 12 höjd 41 cm djup 14 cm längd 145 cm (Typ 4)</v>
      </c>
      <c r="C34" s="320"/>
      <c r="D34" s="319"/>
      <c r="E34" s="321"/>
      <c r="F34" s="320"/>
      <c r="G34" s="320"/>
      <c r="H34" s="320"/>
      <c r="I34" s="320"/>
      <c r="J34" s="320"/>
      <c r="K34" s="319"/>
      <c r="L34" s="320"/>
      <c r="M34" s="320"/>
      <c r="N34" s="321"/>
    </row>
    <row r="35" spans="2:16" x14ac:dyDescent="0.25">
      <c r="B35" s="35"/>
      <c r="C35" s="4"/>
      <c r="D35" s="28"/>
      <c r="E35" s="5"/>
      <c r="F35" s="32"/>
      <c r="G35" s="5"/>
      <c r="H35" s="5"/>
      <c r="I35" s="5"/>
      <c r="J35" s="6"/>
      <c r="K35" s="28"/>
      <c r="L35" s="44"/>
      <c r="M35" s="48"/>
      <c r="N35" s="36"/>
      <c r="O35" s="48"/>
      <c r="P35" s="36"/>
    </row>
    <row r="36" spans="2:16" x14ac:dyDescent="0.25">
      <c r="B36" s="35"/>
      <c r="C36" s="4"/>
      <c r="D36" s="28"/>
      <c r="E36" s="5"/>
      <c r="F36" s="32"/>
      <c r="G36" s="5"/>
      <c r="H36" s="5"/>
      <c r="I36" s="5"/>
      <c r="J36" s="6"/>
      <c r="K36" s="28"/>
      <c r="L36" s="44"/>
      <c r="M36" s="48"/>
      <c r="N36" s="36"/>
      <c r="O36" s="48"/>
      <c r="P36" s="36"/>
    </row>
    <row r="37" spans="2:16" x14ac:dyDescent="0.25">
      <c r="B37" s="35"/>
      <c r="C37" s="4"/>
      <c r="D37" s="28"/>
      <c r="E37" s="5"/>
      <c r="F37" s="32"/>
      <c r="G37" s="5"/>
      <c r="H37" s="5"/>
      <c r="I37" s="5"/>
      <c r="J37" s="6"/>
      <c r="K37" s="28"/>
      <c r="L37" s="44"/>
      <c r="M37" s="48"/>
      <c r="N37" s="36"/>
      <c r="O37" s="48"/>
      <c r="P37" s="36"/>
    </row>
    <row r="38" spans="2:16" x14ac:dyDescent="0.25">
      <c r="B38" s="35"/>
      <c r="C38" s="4"/>
      <c r="D38" s="28"/>
      <c r="E38" s="5"/>
      <c r="F38" s="32"/>
      <c r="G38" s="5"/>
      <c r="H38" s="5"/>
      <c r="I38" s="5"/>
      <c r="J38" s="6"/>
      <c r="K38" s="28"/>
      <c r="L38" s="44"/>
      <c r="M38" s="48"/>
      <c r="N38" s="36"/>
      <c r="O38" s="48"/>
      <c r="P38" s="36"/>
    </row>
    <row r="39" spans="2:16" x14ac:dyDescent="0.25">
      <c r="B39" s="37"/>
      <c r="C39" s="38"/>
      <c r="D39" s="39"/>
      <c r="E39" s="40"/>
      <c r="F39" s="41"/>
      <c r="G39" s="40"/>
      <c r="H39" s="40"/>
      <c r="I39" s="40"/>
      <c r="J39" s="42"/>
      <c r="K39" s="39"/>
      <c r="L39" s="45"/>
      <c r="M39" s="48"/>
      <c r="N39" s="43"/>
      <c r="O39" s="48"/>
      <c r="P39" s="43"/>
    </row>
    <row r="40" spans="2:16" ht="9.4" customHeight="1" x14ac:dyDescent="0.25">
      <c r="B40" s="7" t="s">
        <v>227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49"/>
      <c r="N40" s="47" t="str">
        <f>cal!P40</f>
        <v>v2021-04-26</v>
      </c>
      <c r="O40" s="49"/>
      <c r="P40" s="47"/>
    </row>
    <row r="41" spans="2:16" ht="9.4" customHeight="1" x14ac:dyDescent="0.25">
      <c r="B41" s="7" t="s">
        <v>228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2:16" ht="9.4" customHeight="1" x14ac:dyDescent="0.25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2:16" s="3" customFormat="1" ht="16.149999999999999" hidden="1" customHeight="1" x14ac:dyDescent="0.25"/>
    <row r="44" spans="2:16" x14ac:dyDescent="0.25"/>
    <row r="45" spans="2:16" x14ac:dyDescent="0.25"/>
    <row r="46" spans="2:16" x14ac:dyDescent="0.25"/>
    <row r="47" spans="2:16" x14ac:dyDescent="0.25"/>
    <row r="48" spans="2:16" x14ac:dyDescent="0.25"/>
    <row r="49" x14ac:dyDescent="0.25"/>
  </sheetData>
  <sheetProtection selectLockedCells="1"/>
  <mergeCells count="12">
    <mergeCell ref="H4:K4"/>
    <mergeCell ref="H5:K5"/>
    <mergeCell ref="B9:D9"/>
    <mergeCell ref="G9:J9"/>
    <mergeCell ref="B34:N34"/>
    <mergeCell ref="M9:N9"/>
    <mergeCell ref="G11:J11"/>
    <mergeCell ref="B16:N16"/>
    <mergeCell ref="B22:N22"/>
    <mergeCell ref="B28:N28"/>
    <mergeCell ref="B10:D10"/>
    <mergeCell ref="G10:J10"/>
  </mergeCells>
  <dataValidations count="7">
    <dataValidation type="decimal" errorStyle="information" allowBlank="1" showErrorMessage="1" error="Eingabe außerhalb des gültigen Bereichs." prompt="20°C bis 35°C" sqref="K12">
      <formula1>0.01</formula1>
      <formula2>1</formula2>
    </dataValidation>
    <dataValidation type="whole" errorStyle="information" allowBlank="1" showErrorMessage="1" error="Eingabe außerhalb des gültigen Bereichs." prompt="Eingabe zwischen 5°C bis 20°C" sqref="K9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K10">
      <formula1>K9</formula1>
      <formula2>K11</formula2>
    </dataValidation>
    <dataValidation type="whole" errorStyle="information" allowBlank="1" showErrorMessage="1" error="Temperatur außerhalb des gütligen Bereichs." prompt="Eingabe zwischen 30°C bis 95°C" sqref="E9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E10">
      <formula1>E11</formula1>
      <formula2>E9</formula2>
    </dataValidation>
    <dataValidation type="whole" errorStyle="information" allowBlank="1" showErrorMessage="1" error="Eingabe außerhalb des gültigen Bereichs." prompt="Eingabe zwischen 16°C bis 30°C" sqref="E11">
      <formula1>16</formula1>
      <formula2>30</formula2>
    </dataValidation>
    <dataValidation type="whole" errorStyle="information" allowBlank="1" showErrorMessage="1" error="Eingabe außerhalb des gültigen Bereichs." prompt="20°C bis 35°C" sqref="K11">
      <formula1>20</formula1>
      <formula2>35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9</vt:i4>
      </vt:variant>
    </vt:vector>
  </HeadingPairs>
  <TitlesOfParts>
    <vt:vector size="22" baseType="lpstr">
      <vt:lpstr>Briza 12</vt:lpstr>
      <vt:lpstr>cal</vt:lpstr>
      <vt:lpstr>NL</vt:lpstr>
      <vt:lpstr>EN</vt:lpstr>
      <vt:lpstr>DE</vt:lpstr>
      <vt:lpstr>FR</vt:lpstr>
      <vt:lpstr>NR</vt:lpstr>
      <vt:lpstr>SP</vt:lpstr>
      <vt:lpstr>SW</vt:lpstr>
      <vt:lpstr>TS</vt:lpstr>
      <vt:lpstr>ExtraTaal1</vt:lpstr>
      <vt:lpstr>ExtraTaal2</vt:lpstr>
      <vt:lpstr>ExtraTaal3</vt:lpstr>
      <vt:lpstr>p_atm</vt:lpstr>
      <vt:lpstr>RH</vt:lpstr>
      <vt:lpstr>Tl_cool</vt:lpstr>
      <vt:lpstr>cal!Tl_heat</vt:lpstr>
      <vt:lpstr>Tr_cool</vt:lpstr>
      <vt:lpstr>cal!Tr_heat</vt:lpstr>
      <vt:lpstr>cal!Tv_cool</vt:lpstr>
      <vt:lpstr>cal!Tv_heat</vt:lpstr>
      <vt:lpstr>UnitsNo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THenson@jaga.be</dc:creator>
  <cp:lastModifiedBy>Aleksandra Flammia</cp:lastModifiedBy>
  <cp:lastPrinted>2018-03-05T07:03:20Z</cp:lastPrinted>
  <dcterms:created xsi:type="dcterms:W3CDTF">2016-04-18T12:28:50Z</dcterms:created>
  <dcterms:modified xsi:type="dcterms:W3CDTF">2022-10-26T11:40:41Z</dcterms:modified>
</cp:coreProperties>
</file>