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C:\_Server-Sync\Sync\BERECHNUNGSPROGRAMME\neue Tools\"/>
    </mc:Choice>
  </mc:AlternateContent>
  <workbookProtection workbookAlgorithmName="SHA-512" workbookHashValue="RaTeoQILu2/KO8bgYqgEUXoAfCAGq4OW6+jT0XV+77aJeE7hnb4f7EErwFS8mSG4kqnbGym8cfaNzjYRjCHyYg==" workbookSaltValue="ZqrP0ngTzVMvofY2MU2PRg==" workbookSpinCount="100000" lockStructure="1"/>
  <bookViews>
    <workbookView xWindow="0" yWindow="0" windowWidth="23040" windowHeight="9396"/>
  </bookViews>
  <sheets>
    <sheet name="Freedom Clima Heizen &amp; Kühlen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0" i="3" l="1"/>
  <c r="F34" i="3"/>
  <c r="F33" i="3"/>
  <c r="F32" i="3"/>
  <c r="F29" i="3"/>
  <c r="F28" i="3"/>
  <c r="F27" i="3"/>
  <c r="F24" i="3"/>
  <c r="F23" i="3"/>
  <c r="F22" i="3"/>
  <c r="F19" i="3"/>
  <c r="F18" i="3"/>
  <c r="F17" i="3"/>
  <c r="C34" i="3"/>
  <c r="C33" i="3"/>
  <c r="C32" i="3"/>
  <c r="C29" i="3"/>
  <c r="C28" i="3"/>
  <c r="C27" i="3"/>
  <c r="C24" i="3"/>
  <c r="C23" i="3"/>
  <c r="C22" i="3"/>
  <c r="C19" i="3"/>
  <c r="C18" i="3"/>
  <c r="C17" i="3"/>
  <c r="G33" i="3" l="1"/>
  <c r="H33" i="3"/>
  <c r="G29" i="3"/>
  <c r="H29" i="3"/>
  <c r="G27" i="3"/>
  <c r="H27" i="3"/>
  <c r="G23" i="3"/>
  <c r="H23" i="3"/>
  <c r="G19" i="3"/>
  <c r="H19" i="3"/>
  <c r="G17" i="3"/>
  <c r="H17" i="3"/>
  <c r="B20" i="3"/>
  <c r="B35" i="3"/>
  <c r="I20" i="3"/>
  <c r="I30" i="3"/>
  <c r="K35" i="3"/>
  <c r="L20" i="3"/>
  <c r="K25" i="3"/>
  <c r="L30" i="3"/>
  <c r="B30" i="3"/>
  <c r="C35" i="3"/>
  <c r="D35" i="3" s="1"/>
  <c r="E35" i="3" s="1"/>
  <c r="I25" i="3"/>
  <c r="L25" i="3"/>
  <c r="K30" i="3"/>
  <c r="I35" i="3"/>
  <c r="L35" i="3"/>
  <c r="B25" i="3"/>
  <c r="C25" i="3"/>
  <c r="D25" i="3" s="1"/>
  <c r="E25" i="3" s="1"/>
  <c r="C20" i="3"/>
  <c r="D20" i="3" s="1"/>
  <c r="E20" i="3" s="1"/>
  <c r="C30" i="3"/>
  <c r="D30" i="3" s="1"/>
  <c r="E30" i="3" s="1"/>
  <c r="J34" i="3"/>
  <c r="J35" i="3" s="1"/>
  <c r="J33" i="3"/>
  <c r="J32" i="3"/>
  <c r="J29" i="3"/>
  <c r="J28" i="3"/>
  <c r="J30" i="3" s="1"/>
  <c r="J27" i="3"/>
  <c r="J24" i="3"/>
  <c r="J23" i="3"/>
  <c r="J25" i="3" s="1"/>
  <c r="J22" i="3"/>
  <c r="G32" i="3"/>
  <c r="H32" i="3" s="1"/>
  <c r="G22" i="3"/>
  <c r="H22" i="3"/>
  <c r="G34" i="3"/>
  <c r="H34" i="3"/>
  <c r="G18" i="3"/>
  <c r="H18" i="3" s="1"/>
  <c r="G24" i="3"/>
  <c r="H24" i="3"/>
  <c r="D34" i="3"/>
  <c r="E34" i="3"/>
  <c r="D32" i="3"/>
  <c r="E32" i="3"/>
  <c r="D29" i="3"/>
  <c r="E29" i="3" s="1"/>
  <c r="D27" i="3"/>
  <c r="E27" i="3"/>
  <c r="D24" i="3"/>
  <c r="E24" i="3" s="1"/>
  <c r="D23" i="3"/>
  <c r="E23" i="3"/>
  <c r="F15" i="3"/>
  <c r="D33" i="3"/>
  <c r="E33" i="3" s="1"/>
  <c r="D28" i="3"/>
  <c r="E28" i="3"/>
  <c r="D22" i="3"/>
  <c r="E22" i="3"/>
  <c r="J19" i="3"/>
  <c r="D19" i="3"/>
  <c r="E19" i="3" s="1"/>
  <c r="J18" i="3"/>
  <c r="J20" i="3" s="1"/>
  <c r="D18" i="3"/>
  <c r="E18" i="3" s="1"/>
  <c r="J17" i="3"/>
  <c r="D17" i="3"/>
  <c r="E17" i="3"/>
  <c r="C15" i="3"/>
  <c r="G28" i="3"/>
  <c r="H28" i="3"/>
  <c r="F20" i="3"/>
  <c r="G20" i="3" s="1"/>
  <c r="H20" i="3" s="1"/>
  <c r="F25" i="3"/>
  <c r="G25" i="3"/>
  <c r="H25" i="3" s="1"/>
  <c r="F30" i="3"/>
  <c r="G30" i="3" s="1"/>
  <c r="H30" i="3" s="1"/>
  <c r="F35" i="3"/>
  <c r="G35" i="3" s="1"/>
  <c r="H35" i="3" s="1"/>
</calcChain>
</file>

<file path=xl/sharedStrings.xml><?xml version="1.0" encoding="utf-8"?>
<sst xmlns="http://schemas.openxmlformats.org/spreadsheetml/2006/main" count="47" uniqueCount="31">
  <si>
    <t>Vorlauftemp. [°C]</t>
  </si>
  <si>
    <t>Raumtemp. [°C]</t>
  </si>
  <si>
    <t>Drehzahlstufe:</t>
  </si>
  <si>
    <t>Regelspannung: [V]</t>
  </si>
  <si>
    <t>Schalldruckpegel* [dB(A)]</t>
  </si>
  <si>
    <t>Schallleistungs-pegel [dB(A)]</t>
  </si>
  <si>
    <t>Luftvolumenstrom [m³/h]</t>
  </si>
  <si>
    <t>Heizmittelstrom [l/h]</t>
  </si>
  <si>
    <t>Heizen:</t>
  </si>
  <si>
    <t>Kühlmittelstrom [l/h]</t>
  </si>
  <si>
    <t>Min.</t>
  </si>
  <si>
    <t>Med.</t>
  </si>
  <si>
    <t>Max.</t>
  </si>
  <si>
    <t>Rücklauftemp. [°C]</t>
  </si>
  <si>
    <t>Eingabefelder</t>
  </si>
  <si>
    <t>Temperaturen</t>
  </si>
  <si>
    <t>Auslegungsrandbedingungen</t>
  </si>
  <si>
    <t>Spezifische Lüfterdrehzahl [%]</t>
  </si>
  <si>
    <t xml:space="preserve"> (Spez.)</t>
  </si>
  <si>
    <t>Spez.**</t>
  </si>
  <si>
    <t>*Messhöhe 1m, im Abstand von 2m (8dB(A) Dämpfung)</t>
  </si>
  <si>
    <t>Kühlen:</t>
  </si>
  <si>
    <t>**Die Werte für eine spezifische Lüfterdrehzahl (Spez.) sind linear Interpoliert zwischen den Werten Min.,Med. und Max.</t>
  </si>
  <si>
    <t>Leistungsaufnahme [W]</t>
  </si>
  <si>
    <t>Freedom Clima Höhe 020 Breite 19  Länge 074 (Typ 1) 11,5kg</t>
  </si>
  <si>
    <t>Freedom Clima Höhe 020 Breite 19  Länge 110 (Typ 2) 16,7kg</t>
  </si>
  <si>
    <t>Freedom Clima Höhe 020 Breite 19  Länge 145 (Typ 3) 20,7kg</t>
  </si>
  <si>
    <t>Freedom Clima Höhe 020 Breite 19  Länge 181 (Typ 4) 26,7kg</t>
  </si>
  <si>
    <t>zug. wassers. Druckverlust [kPa]</t>
  </si>
  <si>
    <t xml:space="preserve">System: </t>
  </si>
  <si>
    <t>2-Leiter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</si>
</sst>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scheme val="minor"/>
    </font>
    <font>
      <i/>
      <sz val="11"/>
      <color theme="7" tint="0.79998168889431442"/>
      <name val="Calibri"/>
      <scheme val="minor"/>
    </font>
    <font>
      <i/>
      <sz val="11"/>
      <name val="Calibri"/>
      <scheme val="minor"/>
    </font>
    <font>
      <i/>
      <sz val="11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/>
    <xf numFmtId="0" fontId="0" fillId="3" borderId="0" xfId="0" applyFill="1" applyBorder="1"/>
    <xf numFmtId="0" fontId="1" fillId="3" borderId="0" xfId="0" applyFont="1" applyFill="1" applyBorder="1"/>
    <xf numFmtId="0" fontId="0" fillId="3" borderId="0" xfId="0" applyFill="1" applyBorder="1" applyAlignment="1">
      <alignment horizontal="left"/>
    </xf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1" fillId="3" borderId="0" xfId="0" applyFont="1" applyFill="1" applyBorder="1" applyAlignment="1">
      <alignment horizontal="center" vertical="center" textRotation="90" wrapText="1"/>
    </xf>
    <xf numFmtId="0" fontId="3" fillId="3" borderId="0" xfId="0" applyFont="1" applyFill="1" applyBorder="1" applyAlignment="1">
      <alignment horizontal="center" vertical="center" textRotation="90" wrapText="1"/>
    </xf>
    <xf numFmtId="0" fontId="1" fillId="2" borderId="0" xfId="0" applyFont="1" applyFill="1" applyBorder="1"/>
    <xf numFmtId="49" fontId="8" fillId="4" borderId="10" xfId="0" applyNumberFormat="1" applyFont="1" applyFill="1" applyBorder="1"/>
    <xf numFmtId="0" fontId="9" fillId="4" borderId="1" xfId="0" applyFont="1" applyFill="1" applyBorder="1" applyAlignment="1">
      <alignment horizontal="left"/>
    </xf>
    <xf numFmtId="1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 textRotation="90" wrapText="1"/>
    </xf>
    <xf numFmtId="0" fontId="0" fillId="2" borderId="6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textRotation="90" wrapText="1"/>
    </xf>
    <xf numFmtId="0" fontId="0" fillId="2" borderId="5" xfId="0" applyFill="1" applyBorder="1"/>
    <xf numFmtId="0" fontId="1" fillId="2" borderId="5" xfId="0" applyFont="1" applyFill="1" applyBorder="1"/>
    <xf numFmtId="0" fontId="0" fillId="2" borderId="5" xfId="0" applyFont="1" applyFill="1" applyBorder="1"/>
    <xf numFmtId="0" fontId="7" fillId="2" borderId="11" xfId="0" applyFont="1" applyFill="1" applyBorder="1"/>
    <xf numFmtId="1" fontId="7" fillId="2" borderId="12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" fontId="7" fillId="2" borderId="13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0" fillId="2" borderId="5" xfId="0" applyNumberFormat="1" applyFont="1" applyFill="1" applyBorder="1" applyAlignment="1">
      <alignment horizontal="center" vertical="center"/>
    </xf>
    <xf numFmtId="1" fontId="7" fillId="2" borderId="11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10" fillId="3" borderId="0" xfId="0" applyFont="1" applyFill="1" applyBorder="1"/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1" fillId="3" borderId="3" xfId="0" applyFont="1" applyFill="1" applyBorder="1" applyAlignment="1">
      <alignment horizontal="center" vertical="center" textRotation="90" wrapText="1"/>
    </xf>
    <xf numFmtId="1" fontId="0" fillId="2" borderId="8" xfId="0" applyNumberFormat="1" applyFont="1" applyFill="1" applyBorder="1" applyAlignment="1">
      <alignment horizontal="center" vertical="center"/>
    </xf>
    <xf numFmtId="2" fontId="0" fillId="2" borderId="6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9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0" fillId="3" borderId="5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</cellXfs>
  <cellStyles count="23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M45"/>
  <sheetViews>
    <sheetView tabSelected="1" zoomScaleNormal="100" workbookViewId="0">
      <selection activeCell="D8" sqref="D8"/>
    </sheetView>
  </sheetViews>
  <sheetFormatPr baseColWidth="10" defaultColWidth="0" defaultRowHeight="14.4" zeroHeight="1" x14ac:dyDescent="0.3"/>
  <cols>
    <col min="1" max="1" width="7" style="1" customWidth="1"/>
    <col min="2" max="2" width="6.109375" style="1" customWidth="1"/>
    <col min="3" max="3" width="7" style="1" customWidth="1"/>
    <col min="4" max="4" width="6.77734375" style="1" customWidth="1"/>
    <col min="5" max="12" width="7" style="1" customWidth="1"/>
    <col min="13" max="13" width="2.109375" style="1" customWidth="1"/>
    <col min="14" max="16384" width="11.44140625" style="1" hidden="1"/>
  </cols>
  <sheetData>
    <row r="1" spans="1:12" s="3" customFormat="1" x14ac:dyDescent="0.3">
      <c r="A1" s="25"/>
    </row>
    <row r="2" spans="1:12" s="3" customFormat="1" x14ac:dyDescent="0.3">
      <c r="A2" s="27" t="s">
        <v>14</v>
      </c>
      <c r="B2" s="26"/>
    </row>
    <row r="3" spans="1:12" s="3" customFormat="1" x14ac:dyDescent="0.3">
      <c r="A3" s="25"/>
    </row>
    <row r="4" spans="1:12" s="3" customFormat="1" x14ac:dyDescent="0.3">
      <c r="A4" s="55" t="s">
        <v>16</v>
      </c>
    </row>
    <row r="5" spans="1:12" s="3" customFormat="1" ht="6" customHeigh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x14ac:dyDescent="0.3">
      <c r="A6" s="16" t="s">
        <v>15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7"/>
    </row>
    <row r="7" spans="1:12" x14ac:dyDescent="0.3">
      <c r="A7" s="16" t="s">
        <v>8</v>
      </c>
      <c r="B7" s="10"/>
      <c r="C7" s="10"/>
      <c r="D7" s="10"/>
      <c r="E7" s="10"/>
      <c r="F7" s="11" t="s">
        <v>21</v>
      </c>
      <c r="G7" s="11"/>
      <c r="H7" s="10"/>
      <c r="I7" s="10"/>
      <c r="J7" s="10"/>
      <c r="K7" s="56"/>
      <c r="L7" s="17"/>
    </row>
    <row r="8" spans="1:12" x14ac:dyDescent="0.3">
      <c r="A8" s="68" t="s">
        <v>0</v>
      </c>
      <c r="B8" s="69"/>
      <c r="C8" s="69"/>
      <c r="D8" s="57">
        <v>75</v>
      </c>
      <c r="E8" s="12"/>
      <c r="F8" s="69" t="s">
        <v>0</v>
      </c>
      <c r="G8" s="69"/>
      <c r="H8" s="69"/>
      <c r="I8" s="57">
        <v>7</v>
      </c>
      <c r="J8" s="10"/>
      <c r="K8" s="10"/>
      <c r="L8" s="17"/>
    </row>
    <row r="9" spans="1:12" x14ac:dyDescent="0.3">
      <c r="A9" s="68" t="s">
        <v>13</v>
      </c>
      <c r="B9" s="69"/>
      <c r="C9" s="69"/>
      <c r="D9" s="57">
        <v>65</v>
      </c>
      <c r="E9" s="12"/>
      <c r="F9" s="69" t="s">
        <v>13</v>
      </c>
      <c r="G9" s="69"/>
      <c r="H9" s="69"/>
      <c r="I9" s="57">
        <v>12</v>
      </c>
      <c r="J9" s="10"/>
      <c r="K9" s="10"/>
      <c r="L9" s="17"/>
    </row>
    <row r="10" spans="1:12" x14ac:dyDescent="0.3">
      <c r="A10" s="68" t="s">
        <v>1</v>
      </c>
      <c r="B10" s="69"/>
      <c r="C10" s="69"/>
      <c r="D10" s="57">
        <v>20</v>
      </c>
      <c r="E10" s="12"/>
      <c r="F10" s="69" t="s">
        <v>1</v>
      </c>
      <c r="G10" s="69"/>
      <c r="H10" s="69"/>
      <c r="I10" s="57">
        <v>25</v>
      </c>
      <c r="J10" s="10"/>
      <c r="K10" s="10"/>
      <c r="L10" s="17"/>
    </row>
    <row r="11" spans="1:12" x14ac:dyDescent="0.3">
      <c r="A11" s="1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7"/>
    </row>
    <row r="12" spans="1:12" ht="13.95" customHeight="1" x14ac:dyDescent="0.3">
      <c r="A12" s="73" t="s">
        <v>17</v>
      </c>
      <c r="B12" s="74"/>
      <c r="C12" s="74"/>
      <c r="D12" s="74"/>
      <c r="E12" s="58">
        <v>100</v>
      </c>
      <c r="F12" s="10" t="s">
        <v>18</v>
      </c>
      <c r="G12" s="10"/>
      <c r="H12" s="10" t="s">
        <v>29</v>
      </c>
      <c r="I12" s="10" t="s">
        <v>30</v>
      </c>
      <c r="J12" s="10"/>
      <c r="K12" s="10"/>
      <c r="L12" s="17"/>
    </row>
    <row r="13" spans="1:12" ht="6" customHeight="1" x14ac:dyDescent="0.3">
      <c r="A13" s="19"/>
      <c r="B13" s="20"/>
      <c r="C13" s="20"/>
      <c r="D13" s="20"/>
      <c r="E13" s="21"/>
      <c r="F13" s="21"/>
      <c r="G13" s="21"/>
      <c r="H13" s="21"/>
      <c r="I13" s="21"/>
      <c r="J13" s="21"/>
      <c r="K13" s="21"/>
      <c r="L13" s="22"/>
    </row>
    <row r="14" spans="1:12" ht="12.6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2" s="2" customFormat="1" ht="96.6" customHeight="1" x14ac:dyDescent="0.3">
      <c r="A15" s="38" t="s">
        <v>2</v>
      </c>
      <c r="B15" s="23" t="s">
        <v>3</v>
      </c>
      <c r="C15" s="38" t="str">
        <f>CONCATENATE("Wärmeleistung ",D8,"/",D9,"/",D10," [W]")</f>
        <v>Wärmeleistung 75/65/20 [W]</v>
      </c>
      <c r="D15" s="59" t="s">
        <v>7</v>
      </c>
      <c r="E15" s="67" t="s">
        <v>28</v>
      </c>
      <c r="F15" s="23" t="str">
        <f>CONCATENATE("Tot. Kälteleistung ",I8,"/",I9,"/",I10," [W]")</f>
        <v>Tot. Kälteleistung 7/12/25 [W]</v>
      </c>
      <c r="G15" s="23" t="s">
        <v>9</v>
      </c>
      <c r="H15" s="24" t="s">
        <v>28</v>
      </c>
      <c r="I15" s="38" t="s">
        <v>4</v>
      </c>
      <c r="J15" s="66" t="s">
        <v>5</v>
      </c>
      <c r="K15" s="23" t="s">
        <v>23</v>
      </c>
      <c r="L15" s="34" t="s">
        <v>6</v>
      </c>
    </row>
    <row r="16" spans="1:12" ht="18" customHeight="1" x14ac:dyDescent="0.3">
      <c r="A16" s="70" t="s">
        <v>24</v>
      </c>
      <c r="B16" s="71"/>
      <c r="C16" s="70"/>
      <c r="D16" s="72"/>
      <c r="E16" s="71"/>
      <c r="F16" s="71"/>
      <c r="G16" s="71"/>
      <c r="H16" s="71"/>
      <c r="I16" s="70"/>
      <c r="J16" s="71"/>
      <c r="K16" s="71"/>
      <c r="L16" s="72"/>
    </row>
    <row r="17" spans="1:12" x14ac:dyDescent="0.3">
      <c r="A17" s="39" t="s">
        <v>10</v>
      </c>
      <c r="B17" s="4">
        <v>4.5</v>
      </c>
      <c r="C17" s="48">
        <f>653*(($D$8+$D$9)/2-$D$10)/50</f>
        <v>653</v>
      </c>
      <c r="D17" s="5">
        <f>C17/(($D$8-$D$9)*1.163)</f>
        <v>56.147893379191743</v>
      </c>
      <c r="E17" s="64">
        <f>0.000115720760310885*D17^1.96267663452922</f>
        <v>0.31389702467464103</v>
      </c>
      <c r="F17" s="5">
        <f>131*($I$10-(($I$8+$I$9)/2))/15.5</f>
        <v>131</v>
      </c>
      <c r="G17" s="5">
        <f>F17/(($I$9-$I$8)*1.163)</f>
        <v>22.527944969905416</v>
      </c>
      <c r="H17" s="6">
        <f>0.000115720760310885*G17^1.96267663452922</f>
        <v>5.2283699488840298E-2</v>
      </c>
      <c r="I17" s="52">
        <v>25.6</v>
      </c>
      <c r="J17" s="35">
        <f>I17+8</f>
        <v>33.6</v>
      </c>
      <c r="K17" s="4">
        <v>1.7</v>
      </c>
      <c r="L17" s="35">
        <v>45</v>
      </c>
    </row>
    <row r="18" spans="1:12" x14ac:dyDescent="0.3">
      <c r="A18" s="40" t="s">
        <v>11</v>
      </c>
      <c r="B18" s="29">
        <v>7.5</v>
      </c>
      <c r="C18" s="49">
        <f>984*(($D$8+$D$9)/2-$D$10)/50</f>
        <v>984</v>
      </c>
      <c r="D18" s="28">
        <f>C18/(($D$8-$D$9)*1.163)</f>
        <v>84.608770421324152</v>
      </c>
      <c r="E18" s="62">
        <f>0.000115720760310885*D18^1.96267663452922</f>
        <v>0.70194715313453848</v>
      </c>
      <c r="F18" s="28">
        <f>192*($I$10-(($I$8+$I$9)/2))/15.5</f>
        <v>192</v>
      </c>
      <c r="G18" s="28">
        <f>F18/(($I$9-$I$8)*1.163)</f>
        <v>33.018056749785039</v>
      </c>
      <c r="H18" s="7">
        <f>0.000115720760310885*G18^1.96267663452922</f>
        <v>0.11072084205381587</v>
      </c>
      <c r="I18" s="53">
        <v>34.6</v>
      </c>
      <c r="J18" s="36">
        <f t="shared" ref="J18:J19" si="0">I18+8</f>
        <v>42.6</v>
      </c>
      <c r="K18" s="29">
        <v>3.2</v>
      </c>
      <c r="L18" s="36">
        <v>75</v>
      </c>
    </row>
    <row r="19" spans="1:12" x14ac:dyDescent="0.3">
      <c r="A19" s="41" t="s">
        <v>12</v>
      </c>
      <c r="B19" s="32">
        <v>10</v>
      </c>
      <c r="C19" s="50">
        <f>1219*(($D$8+$D$9)/2-$D$10)/50</f>
        <v>1219</v>
      </c>
      <c r="D19" s="60">
        <f>C19/(($D$8-$D$9)*1.163)</f>
        <v>104.81513327601031</v>
      </c>
      <c r="E19" s="65">
        <f>0.000115720760310885*D19^1.96267663452922</f>
        <v>1.0686862880897561</v>
      </c>
      <c r="F19" s="30">
        <f>274*($I$10-(($I$8+$I$9)/2))/15.5</f>
        <v>274</v>
      </c>
      <c r="G19" s="30">
        <f>F19/(($I$9-$I$8)*1.163)</f>
        <v>47.119518486672398</v>
      </c>
      <c r="H19" s="31">
        <f>0.000115720760310885*G19^1.96267663452922</f>
        <v>0.22251714510693282</v>
      </c>
      <c r="I19" s="54">
        <v>41.9</v>
      </c>
      <c r="J19" s="37">
        <f t="shared" si="0"/>
        <v>49.9</v>
      </c>
      <c r="K19" s="32">
        <v>4.4000000000000004</v>
      </c>
      <c r="L19" s="37">
        <v>100</v>
      </c>
    </row>
    <row r="20" spans="1:12" x14ac:dyDescent="0.3">
      <c r="A20" s="42" t="s">
        <v>19</v>
      </c>
      <c r="B20" s="47">
        <f>E12/10</f>
        <v>10</v>
      </c>
      <c r="C20" s="51">
        <f>IF($B$20&lt;=$B$17,(C17-0)/($B$17-0)*$B$20,IF($B$20&lt;=$B$18,(C18-C17)/($B$18-$B$17)*($B$20-$B$17)+C17,IF($B$20&lt;=$B$19,(C19-C18)/($B$19-$B$18)*($B$20-$B$18)+C18)))</f>
        <v>1219</v>
      </c>
      <c r="D20" s="43">
        <f>C20/(($D$8-$D$9)*1.163)</f>
        <v>104.81513327601031</v>
      </c>
      <c r="E20" s="63">
        <f>0.000115720760310885*D20^1.96267663452922</f>
        <v>1.0686862880897561</v>
      </c>
      <c r="F20" s="43">
        <f t="shared" ref="F20:L20" si="1">IF($B$20&lt;=$B$17,(F17-0)/($B$17-0)*$B$20,IF($B$20&lt;=$B$18,(F18-F17)/($B$18-$B$17)*($B$20-$B$17)+F17,IF($B$20&lt;=$B$19,(F19-F18)/($B$19-$B$18)*($B$20-$B$18)+F18)))</f>
        <v>274</v>
      </c>
      <c r="G20" s="43">
        <f>F20/(($I$9-$I$8)*1.163)</f>
        <v>47.119518486672398</v>
      </c>
      <c r="H20" s="44">
        <f>0.000115720760310885*G20^1.96267663452922</f>
        <v>0.22251714510693282</v>
      </c>
      <c r="I20" s="51">
        <f t="shared" si="1"/>
        <v>41.9</v>
      </c>
      <c r="J20" s="46">
        <f t="shared" si="1"/>
        <v>49.9</v>
      </c>
      <c r="K20" s="45">
        <f t="shared" si="1"/>
        <v>4.4000000000000004</v>
      </c>
      <c r="L20" s="46">
        <f t="shared" si="1"/>
        <v>100</v>
      </c>
    </row>
    <row r="21" spans="1:12" ht="16.95" customHeight="1" x14ac:dyDescent="0.3">
      <c r="A21" s="70" t="s">
        <v>25</v>
      </c>
      <c r="B21" s="71"/>
      <c r="C21" s="70"/>
      <c r="D21" s="72"/>
      <c r="E21" s="71"/>
      <c r="F21" s="71"/>
      <c r="G21" s="71"/>
      <c r="H21" s="71"/>
      <c r="I21" s="70"/>
      <c r="J21" s="71"/>
      <c r="K21" s="71"/>
      <c r="L21" s="72"/>
    </row>
    <row r="22" spans="1:12" x14ac:dyDescent="0.3">
      <c r="A22" s="41" t="s">
        <v>10</v>
      </c>
      <c r="B22" s="32">
        <v>4.5</v>
      </c>
      <c r="C22" s="50">
        <f>1305*(($D$8+$D$9)/2-$D$10)/50</f>
        <v>1305</v>
      </c>
      <c r="D22" s="30">
        <f>C22/(($D$8-$D$9)*1.163)</f>
        <v>112.20980223559758</v>
      </c>
      <c r="E22" s="61">
        <f>0.000380078529687486*D22^1.85023951851061</f>
        <v>2.3600506956699911</v>
      </c>
      <c r="F22" s="30">
        <f>263*($I$10-(($I$8+$I$9)/2))/15.5</f>
        <v>263</v>
      </c>
      <c r="G22" s="30">
        <f>F22/(($I$9-$I$8)*1.163)</f>
        <v>45.227858985382625</v>
      </c>
      <c r="H22" s="31">
        <f>0.000380078529687486*G22^1.85023951851061</f>
        <v>0.43930990186377367</v>
      </c>
      <c r="I22" s="54">
        <v>26.2</v>
      </c>
      <c r="J22" s="37">
        <f>I22+8</f>
        <v>34.200000000000003</v>
      </c>
      <c r="K22" s="32">
        <v>2</v>
      </c>
      <c r="L22" s="37">
        <v>90</v>
      </c>
    </row>
    <row r="23" spans="1:12" x14ac:dyDescent="0.3">
      <c r="A23" s="40" t="s">
        <v>11</v>
      </c>
      <c r="B23" s="29">
        <v>7.5</v>
      </c>
      <c r="C23" s="49">
        <f>1969*(($D$8+$D$9)/2-$D$10)/50</f>
        <v>1969</v>
      </c>
      <c r="D23" s="28">
        <f>C23/(($D$8-$D$9)*1.163)</f>
        <v>169.30352536543421</v>
      </c>
      <c r="E23" s="62">
        <f>0.000380078529687486*D23^1.85023951851061</f>
        <v>5.0517197171648869</v>
      </c>
      <c r="F23" s="28">
        <f>385*($I$10-(($I$8+$I$9)/2))/15.5</f>
        <v>385</v>
      </c>
      <c r="G23" s="28">
        <f>F23/(($I$9-$I$8)*1.163)</f>
        <v>66.208082545141863</v>
      </c>
      <c r="H23" s="7">
        <f>0.000380078529687486*G23^1.85023951851061</f>
        <v>0.88919057059826323</v>
      </c>
      <c r="I23" s="53">
        <v>37.200000000000003</v>
      </c>
      <c r="J23" s="36">
        <f t="shared" ref="J23:J24" si="2">I23+8</f>
        <v>45.2</v>
      </c>
      <c r="K23" s="29">
        <v>4.8</v>
      </c>
      <c r="L23" s="36">
        <v>151</v>
      </c>
    </row>
    <row r="24" spans="1:12" x14ac:dyDescent="0.3">
      <c r="A24" s="41" t="s">
        <v>12</v>
      </c>
      <c r="B24" s="32">
        <v>10</v>
      </c>
      <c r="C24" s="50">
        <f>2438*(($D$8+$D$9)/2-$D$10)/50</f>
        <v>2438</v>
      </c>
      <c r="D24" s="60">
        <f>C24/(($D$8-$D$9)*1.163)</f>
        <v>209.63026655202063</v>
      </c>
      <c r="E24" s="61">
        <f>0.000380078529687486*D24^1.85023951851061</f>
        <v>7.5010013512334393</v>
      </c>
      <c r="F24" s="30">
        <f>548*($I$10-(($I$8+$I$9)/2))/15.5</f>
        <v>548</v>
      </c>
      <c r="G24" s="30">
        <f>F24/(($I$9-$I$8)*1.163)</f>
        <v>94.239036973344795</v>
      </c>
      <c r="H24" s="31">
        <f>0.000380078529687486*G24^1.85023951851061</f>
        <v>1.7087292554552067</v>
      </c>
      <c r="I24" s="54">
        <v>46.1</v>
      </c>
      <c r="J24" s="37">
        <f t="shared" si="2"/>
        <v>54.1</v>
      </c>
      <c r="K24" s="32">
        <v>6.7</v>
      </c>
      <c r="L24" s="37">
        <v>201</v>
      </c>
    </row>
    <row r="25" spans="1:12" x14ac:dyDescent="0.3">
      <c r="A25" s="42" t="s">
        <v>19</v>
      </c>
      <c r="B25" s="47">
        <f>B20</f>
        <v>10</v>
      </c>
      <c r="C25" s="51">
        <f>IF($B$20&lt;=$B$17,(C22-0)/($B$17-0)*$B$20,IF($B$20&lt;=$B$18,(C23-C22)/($B$18-$B$17)*($B$20-$B$17)+C22,IF($B$20&lt;=$B$19,(C24-C23)/($B$19-$B$18)*($B$20-$B$18)+C23)))</f>
        <v>2438</v>
      </c>
      <c r="D25" s="43">
        <f>C25/(($D$8-$D$9)*1.163)</f>
        <v>209.63026655202063</v>
      </c>
      <c r="E25" s="63">
        <f>0.000115720760310885*D25^1.96267663452922</f>
        <v>4.1655732515888708</v>
      </c>
      <c r="F25" s="43">
        <f t="shared" ref="F25" si="3">IF($B$20&lt;=$B$17,(F22-0)/($B$17-0)*$B$20,IF($B$20&lt;=$B$18,(F23-F22)/($B$18-$B$17)*($B$20-$B$17)+F22,IF($B$20&lt;=$B$19,(F24-F23)/($B$19-$B$18)*($B$20-$B$18)+F23)))</f>
        <v>548</v>
      </c>
      <c r="G25" s="43">
        <f>F25/(($I$9-$I$8)*1.163)</f>
        <v>94.239036973344795</v>
      </c>
      <c r="H25" s="44">
        <f>0.000115720760310885*G25^1.96267663452922</f>
        <v>0.86733728878863325</v>
      </c>
      <c r="I25" s="51">
        <f t="shared" ref="I25" si="4">IF($B$20&lt;=$B$17,(I22-0)/($B$17-0)*$B$20,IF($B$20&lt;=$B$18,(I23-I22)/($B$18-$B$17)*($B$20-$B$17)+I22,IF($B$20&lt;=$B$19,(I24-I23)/($B$19-$B$18)*($B$20-$B$18)+I23)))</f>
        <v>46.1</v>
      </c>
      <c r="J25" s="46">
        <f t="shared" ref="J25" si="5">IF($B$20&lt;=$B$17,(J22-0)/($B$17-0)*$B$20,IF($B$20&lt;=$B$18,(J23-J22)/($B$18-$B$17)*($B$20-$B$17)+J22,IF($B$20&lt;=$B$19,(J24-J23)/($B$19-$B$18)*($B$20-$B$18)+J23)))</f>
        <v>54.1</v>
      </c>
      <c r="K25" s="45">
        <f t="shared" ref="K25" si="6">IF($B$20&lt;=$B$17,(K22-0)/($B$17-0)*$B$20,IF($B$20&lt;=$B$18,(K23-K22)/($B$18-$B$17)*($B$20-$B$17)+K22,IF($B$20&lt;=$B$19,(K24-K23)/($B$19-$B$18)*($B$20-$B$18)+K23)))</f>
        <v>6.7</v>
      </c>
      <c r="L25" s="46">
        <f t="shared" ref="L25" si="7">IF($B$20&lt;=$B$17,(L22-0)/($B$17-0)*$B$20,IF($B$20&lt;=$B$18,(L23-L22)/($B$18-$B$17)*($B$20-$B$17)+L22,IF($B$20&lt;=$B$19,(L24-L23)/($B$19-$B$18)*($B$20-$B$18)+L23)))</f>
        <v>201</v>
      </c>
    </row>
    <row r="26" spans="1:12" ht="18" customHeight="1" x14ac:dyDescent="0.3">
      <c r="A26" s="70" t="s">
        <v>26</v>
      </c>
      <c r="B26" s="71"/>
      <c r="C26" s="70"/>
      <c r="D26" s="72"/>
      <c r="E26" s="71"/>
      <c r="F26" s="71"/>
      <c r="G26" s="71"/>
      <c r="H26" s="71"/>
      <c r="I26" s="70"/>
      <c r="J26" s="71"/>
      <c r="K26" s="71"/>
      <c r="L26" s="72"/>
    </row>
    <row r="27" spans="1:12" x14ac:dyDescent="0.3">
      <c r="A27" s="41" t="s">
        <v>10</v>
      </c>
      <c r="B27" s="32">
        <v>4.5</v>
      </c>
      <c r="C27" s="50">
        <f>1958*(($D$8+$D$9)/2-$D$10)/50</f>
        <v>1958</v>
      </c>
      <c r="D27" s="30">
        <f>C27/(($D$8-$D$9)*1.163)</f>
        <v>168.35769561478932</v>
      </c>
      <c r="E27" s="61">
        <f>0.000694966007451909*D27^1.79406140071215</f>
        <v>6.854285784230771</v>
      </c>
      <c r="F27" s="30">
        <f>394*($I$10-(($I$8+$I$9)/2))/15.5</f>
        <v>394</v>
      </c>
      <c r="G27" s="30">
        <f>F27/(($I$9-$I$8)*1.163)</f>
        <v>67.755803955288044</v>
      </c>
      <c r="H27" s="31">
        <f>0.000694966007451909*G27^1.79406140071215</f>
        <v>1.3390414168308489</v>
      </c>
      <c r="I27" s="54">
        <v>28.9</v>
      </c>
      <c r="J27" s="37">
        <f>I27+8</f>
        <v>36.9</v>
      </c>
      <c r="K27" s="32">
        <v>3.5</v>
      </c>
      <c r="L27" s="37">
        <v>135</v>
      </c>
    </row>
    <row r="28" spans="1:12" x14ac:dyDescent="0.3">
      <c r="A28" s="40" t="s">
        <v>11</v>
      </c>
      <c r="B28" s="29">
        <v>7.5</v>
      </c>
      <c r="C28" s="49">
        <f>2953*(($D$8+$D$9)/2-$D$10)/50</f>
        <v>2953</v>
      </c>
      <c r="D28" s="28">
        <f>C28/(($D$8-$D$9)*1.163)</f>
        <v>253.91229578675836</v>
      </c>
      <c r="E28" s="62">
        <f>0.000694966007451909*D28^1.79406140071215</f>
        <v>14.325633216494035</v>
      </c>
      <c r="F28" s="28">
        <f>577*($I$10-(($I$8+$I$9)/2))/15.5</f>
        <v>577</v>
      </c>
      <c r="G28" s="28">
        <f>F28/(($I$9-$I$8)*1.163)</f>
        <v>99.226139294926909</v>
      </c>
      <c r="H28" s="7">
        <f>0.000694966007451909*G28^1.79406140071215</f>
        <v>2.6548095407916561</v>
      </c>
      <c r="I28" s="53">
        <v>39.1</v>
      </c>
      <c r="J28" s="36">
        <f t="shared" ref="J28:J29" si="8">I28+8</f>
        <v>47.1</v>
      </c>
      <c r="K28" s="29">
        <v>6.7</v>
      </c>
      <c r="L28" s="36">
        <v>226</v>
      </c>
    </row>
    <row r="29" spans="1:12" x14ac:dyDescent="0.3">
      <c r="A29" s="41" t="s">
        <v>12</v>
      </c>
      <c r="B29" s="32">
        <v>10</v>
      </c>
      <c r="C29" s="50">
        <f>3657*(($D$8+$D$9)/2-$D$10)/50</f>
        <v>3657</v>
      </c>
      <c r="D29" s="30">
        <f>C29/(($D$8-$D$9)*1.163)</f>
        <v>314.44539982803093</v>
      </c>
      <c r="E29" s="61">
        <f>0.000694966007451909*D29^1.79406140071215</f>
        <v>21.023890423667432</v>
      </c>
      <c r="F29" s="30">
        <f>822*($I$10-(($I$8+$I$9)/2))/15.5</f>
        <v>822</v>
      </c>
      <c r="G29" s="30">
        <f>F29/(($I$9-$I$8)*1.163)</f>
        <v>141.35855546001719</v>
      </c>
      <c r="H29" s="31">
        <f>0.000694966007451909*G29^1.79406140071215</f>
        <v>5.0092584405586402</v>
      </c>
      <c r="I29" s="54">
        <v>47.5</v>
      </c>
      <c r="J29" s="37">
        <f t="shared" si="8"/>
        <v>55.5</v>
      </c>
      <c r="K29" s="32">
        <v>10.3</v>
      </c>
      <c r="L29" s="37">
        <v>301</v>
      </c>
    </row>
    <row r="30" spans="1:12" x14ac:dyDescent="0.3">
      <c r="A30" s="42" t="s">
        <v>19</v>
      </c>
      <c r="B30" s="47">
        <f>B20</f>
        <v>10</v>
      </c>
      <c r="C30" s="51">
        <f>IF($B$20&lt;=$B$17,(C27-0)/($B$17-0)*$B$20,IF($B$20&lt;=$B$18,(C28-C27)/($B$18-$B$17)*($B$20-$B$17)+C27,IF($B$20&lt;=$B$19,(C29-C28)/($B$19-$B$18)*($B$20-$B$18)+C28)))</f>
        <v>3657</v>
      </c>
      <c r="D30" s="43">
        <f>C30/(($D$8-$D$9)*1.163)</f>
        <v>314.44539982803093</v>
      </c>
      <c r="E30" s="63">
        <f>0.000115720760310885*D30^1.96267663452922</f>
        <v>9.2317699932946429</v>
      </c>
      <c r="F30" s="43">
        <f t="shared" ref="F30" si="9">IF($B$20&lt;=$B$17,(F27-0)/($B$17-0)*$B$20,IF($B$20&lt;=$B$18,(F28-F27)/($B$18-$B$17)*($B$20-$B$17)+F27,IF($B$20&lt;=$B$19,(F29-F28)/($B$19-$B$18)*($B$20-$B$18)+F28)))</f>
        <v>822</v>
      </c>
      <c r="G30" s="43">
        <f>F30/(($I$9-$I$8)*1.163)</f>
        <v>141.35855546001719</v>
      </c>
      <c r="H30" s="44">
        <f>0.000115720760310885*G30^1.96267663452922</f>
        <v>1.9221984281876026</v>
      </c>
      <c r="I30" s="51">
        <f t="shared" ref="I30" si="10">IF($B$20&lt;=$B$17,(I27-0)/($B$17-0)*$B$20,IF($B$20&lt;=$B$18,(I28-I27)/($B$18-$B$17)*($B$20-$B$17)+I27,IF($B$20&lt;=$B$19,(I29-I28)/($B$19-$B$18)*($B$20-$B$18)+I28)))</f>
        <v>47.5</v>
      </c>
      <c r="J30" s="46">
        <f t="shared" ref="J30" si="11">IF($B$20&lt;=$B$17,(J27-0)/($B$17-0)*$B$20,IF($B$20&lt;=$B$18,(J28-J27)/($B$18-$B$17)*($B$20-$B$17)+J27,IF($B$20&lt;=$B$19,(J29-J28)/($B$19-$B$18)*($B$20-$B$18)+J28)))</f>
        <v>55.5</v>
      </c>
      <c r="K30" s="45">
        <f t="shared" ref="K30" si="12">IF($B$20&lt;=$B$17,(K27-0)/($B$17-0)*$B$20,IF($B$20&lt;=$B$18,(K28-K27)/($B$18-$B$17)*($B$20-$B$17)+K27,IF($B$20&lt;=$B$19,(K29-K28)/($B$19-$B$18)*($B$20-$B$18)+K28)))</f>
        <v>10.3</v>
      </c>
      <c r="L30" s="46">
        <f t="shared" ref="L30" si="13">IF($B$20&lt;=$B$17,(L27-0)/($B$17-0)*$B$20,IF($B$20&lt;=$B$18,(L28-L27)/($B$18-$B$17)*($B$20-$B$17)+L27,IF($B$20&lt;=$B$19,(L29-L28)/($B$19-$B$18)*($B$20-$B$18)+L28)))</f>
        <v>301</v>
      </c>
    </row>
    <row r="31" spans="1:12" ht="16.95" customHeight="1" x14ac:dyDescent="0.3">
      <c r="A31" s="70" t="s">
        <v>27</v>
      </c>
      <c r="B31" s="71"/>
      <c r="C31" s="70"/>
      <c r="D31" s="72"/>
      <c r="E31" s="71"/>
      <c r="F31" s="71"/>
      <c r="G31" s="71"/>
      <c r="H31" s="71"/>
      <c r="I31" s="70"/>
      <c r="J31" s="71"/>
      <c r="K31" s="71"/>
      <c r="L31" s="72"/>
    </row>
    <row r="32" spans="1:12" x14ac:dyDescent="0.3">
      <c r="A32" s="41" t="s">
        <v>10</v>
      </c>
      <c r="B32" s="32">
        <v>4.5</v>
      </c>
      <c r="C32" s="50">
        <f>2611*(($D$8+$D$9)/2-$D$10)/50</f>
        <v>2611</v>
      </c>
      <c r="D32" s="30">
        <f>C32/(($D$8-$D$9)*1.163)</f>
        <v>224.50558899398106</v>
      </c>
      <c r="E32" s="61">
        <f>0.000942610818998735*D32^1.78835044792727</f>
        <v>15.10603754323057</v>
      </c>
      <c r="F32" s="30">
        <f>525*($I$10-(($I$8+$I$9)/2))/15.5</f>
        <v>525</v>
      </c>
      <c r="G32" s="30">
        <f>F32/(($I$9-$I$8)*1.163)</f>
        <v>90.283748925193464</v>
      </c>
      <c r="H32" s="31">
        <f>0.000942610818998735*G32^1.78835044792727</f>
        <v>2.9624272659981203</v>
      </c>
      <c r="I32" s="54">
        <v>29.2</v>
      </c>
      <c r="J32" s="37">
        <f>I32+8</f>
        <v>37.200000000000003</v>
      </c>
      <c r="K32" s="32">
        <v>3.6</v>
      </c>
      <c r="L32" s="37">
        <v>180</v>
      </c>
    </row>
    <row r="33" spans="1:12" x14ac:dyDescent="0.3">
      <c r="A33" s="40" t="s">
        <v>11</v>
      </c>
      <c r="B33" s="29">
        <v>7.5</v>
      </c>
      <c r="C33" s="49">
        <f>3937*(($D$8+$D$9)/2-$D$10)/50</f>
        <v>3937</v>
      </c>
      <c r="D33" s="28">
        <f>C33/(($D$8-$D$9)*1.163)</f>
        <v>338.52106620808252</v>
      </c>
      <c r="E33" s="62">
        <f>0.000942610818998735*D33^1.78835044792727</f>
        <v>31.486047038492188</v>
      </c>
      <c r="F33" s="28">
        <f>769*($I$10-(($I$8+$I$9)/2))/15.5</f>
        <v>769</v>
      </c>
      <c r="G33" s="28">
        <f>F33/(($I$9-$I$8)*1.163)</f>
        <v>132.24419604471194</v>
      </c>
      <c r="H33" s="7">
        <f>0.000942610818998735*G33^1.78835044792727</f>
        <v>5.8626943111272247</v>
      </c>
      <c r="I33" s="53">
        <v>40.200000000000003</v>
      </c>
      <c r="J33" s="36">
        <f t="shared" ref="J33:J34" si="14">I33+8</f>
        <v>48.2</v>
      </c>
      <c r="K33" s="29">
        <v>8.3000000000000007</v>
      </c>
      <c r="L33" s="36">
        <v>301</v>
      </c>
    </row>
    <row r="34" spans="1:12" x14ac:dyDescent="0.3">
      <c r="A34" s="41" t="s">
        <v>12</v>
      </c>
      <c r="B34" s="32">
        <v>10</v>
      </c>
      <c r="C34" s="50">
        <f>4876*(($D$8+$D$9)/2-$D$10)/50</f>
        <v>4876</v>
      </c>
      <c r="D34" s="30">
        <f>C34/(($D$8-$D$9)*1.163)</f>
        <v>419.26053310404126</v>
      </c>
      <c r="E34" s="61">
        <f>0.000942610818998735*D34^1.78835044792727</f>
        <v>46.158620866556859</v>
      </c>
      <c r="F34" s="30">
        <f>1096*($I$10-(($I$8+$I$9)/2))/15.5</f>
        <v>1096</v>
      </c>
      <c r="G34" s="30">
        <f>F34/(($I$9-$I$8)*1.163)</f>
        <v>188.47807394668959</v>
      </c>
      <c r="H34" s="31">
        <f>0.000942610818998735*G34^1.78835044792727</f>
        <v>11.04831769023283</v>
      </c>
      <c r="I34" s="54">
        <v>49.1</v>
      </c>
      <c r="J34" s="37">
        <f t="shared" si="14"/>
        <v>57.1</v>
      </c>
      <c r="K34" s="32">
        <v>12.1</v>
      </c>
      <c r="L34" s="37">
        <v>401</v>
      </c>
    </row>
    <row r="35" spans="1:12" x14ac:dyDescent="0.3">
      <c r="A35" s="42" t="s">
        <v>19</v>
      </c>
      <c r="B35" s="47">
        <f>B20</f>
        <v>10</v>
      </c>
      <c r="C35" s="51">
        <f>IF($B$20&lt;=$B$17,(C32-0)/($B$17-0)*$B$20,IF($B$20&lt;=$B$18,(C33-C32)/($B$18-$B$17)*($B$20-$B$17)+C32,IF($B$20&lt;=$B$19,(C34-C33)/($B$19-$B$18)*($B$20-$B$18)+C33)))</f>
        <v>4876</v>
      </c>
      <c r="D35" s="43">
        <f>C35/(($D$8-$D$9)*1.163)</f>
        <v>419.26053310404126</v>
      </c>
      <c r="E35" s="63">
        <f>0.000115720760310885*D35^1.96267663452922</f>
        <v>16.236757884644348</v>
      </c>
      <c r="F35" s="43">
        <f t="shared" ref="F35" si="15">IF($B$20&lt;=$B$17,(F32-0)/($B$17-0)*$B$20,IF($B$20&lt;=$B$18,(F33-F32)/($B$18-$B$17)*($B$20-$B$17)+F32,IF($B$20&lt;=$B$19,(F34-F33)/($B$19-$B$18)*($B$20-$B$18)+F33)))</f>
        <v>1096</v>
      </c>
      <c r="G35" s="43">
        <f>F35/(($I$9-$I$8)*1.163)</f>
        <v>188.47807394668959</v>
      </c>
      <c r="H35" s="44">
        <f>0.000115720760310885*G35^1.96267663452922</f>
        <v>3.3807461090771418</v>
      </c>
      <c r="I35" s="51">
        <f t="shared" ref="I35" si="16">IF($B$20&lt;=$B$17,(I32-0)/($B$17-0)*$B$20,IF($B$20&lt;=$B$18,(I33-I32)/($B$18-$B$17)*($B$20-$B$17)+I32,IF($B$20&lt;=$B$19,(I34-I33)/($B$19-$B$18)*($B$20-$B$18)+I33)))</f>
        <v>49.1</v>
      </c>
      <c r="J35" s="46">
        <f t="shared" ref="J35" si="17">IF($B$20&lt;=$B$17,(J32-0)/($B$17-0)*$B$20,IF($B$20&lt;=$B$18,(J33-J32)/($B$18-$B$17)*($B$20-$B$17)+J32,IF($B$20&lt;=$B$19,(J34-J33)/($B$19-$B$18)*($B$20-$B$18)+J33)))</f>
        <v>57.1</v>
      </c>
      <c r="K35" s="45">
        <f t="shared" ref="K35" si="18">IF($B$20&lt;=$B$17,(K32-0)/($B$17-0)*$B$20,IF($B$20&lt;=$B$18,(K33-K32)/($B$18-$B$17)*($B$20-$B$17)+K32,IF($B$20&lt;=$B$19,(K34-K33)/($B$19-$B$18)*($B$20-$B$18)+K33)))</f>
        <v>12.1</v>
      </c>
      <c r="L35" s="46">
        <f t="shared" ref="L35" si="19">IF($B$20&lt;=$B$17,(L32-0)/($B$17-0)*$B$20,IF($B$20&lt;=$B$18,(L33-L32)/($B$18-$B$17)*($B$20-$B$17)+L32,IF($B$20&lt;=$B$19,(L34-L33)/($B$19-$B$18)*($B$20-$B$18)+L33)))</f>
        <v>401</v>
      </c>
    </row>
    <row r="36" spans="1:12" ht="10.199999999999999" customHeight="1" x14ac:dyDescent="0.3">
      <c r="A36" s="8" t="s">
        <v>20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9.4499999999999993" customHeight="1" x14ac:dyDescent="0.3">
      <c r="A37" s="9" t="s">
        <v>22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s="3" customFormat="1" ht="16.05" hidden="1" customHeight="1" x14ac:dyDescent="0.3"/>
    <row r="39" spans="1:12" hidden="1" x14ac:dyDescent="0.3"/>
    <row r="40" spans="1:12" hidden="1" x14ac:dyDescent="0.3"/>
    <row r="41" spans="1:12" hidden="1" x14ac:dyDescent="0.3"/>
    <row r="42" spans="1:12" hidden="1" x14ac:dyDescent="0.3"/>
    <row r="43" spans="1:12" hidden="1" x14ac:dyDescent="0.3"/>
    <row r="44" spans="1:12" hidden="1" x14ac:dyDescent="0.3"/>
    <row r="45" spans="1:12" hidden="1" x14ac:dyDescent="0.3"/>
  </sheetData>
  <sheetProtection algorithmName="SHA-512" hashValue="1CsNkcx16SGkR/jN4nxO663Cy37v+nWsPMMbT7H6HYl961lTSuIjTrbl/Yewsw/MYpeaNOTGJG2ZTXvkcs1kCg==" saltValue="ZFSwGhFE+spNi7j/kIjWJg==" spinCount="100000" sheet="1" objects="1" scenarios="1" selectLockedCells="1"/>
  <dataConsolidate/>
  <mergeCells count="11">
    <mergeCell ref="A31:L31"/>
    <mergeCell ref="A26:L26"/>
    <mergeCell ref="A21:L21"/>
    <mergeCell ref="A12:D12"/>
    <mergeCell ref="A16:L16"/>
    <mergeCell ref="A8:C8"/>
    <mergeCell ref="A9:C9"/>
    <mergeCell ref="A10:C10"/>
    <mergeCell ref="F8:H8"/>
    <mergeCell ref="F9:H9"/>
    <mergeCell ref="F10:H10"/>
  </mergeCells>
  <phoneticPr fontId="4" type="noConversion"/>
  <dataValidations xWindow="659" yWindow="405" count="7">
    <dataValidation type="whole" errorStyle="information" allowBlank="1" showErrorMessage="1" error="Eingabe außerhalb des gültigen Bereichs." prompt="Eingabe zwischen 5°C bis 20°C" sqref="I8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I9">
      <formula1>I8</formula1>
      <formula2>I10</formula2>
    </dataValidation>
    <dataValidation type="whole" errorStyle="information" allowBlank="1" showErrorMessage="1" error="Temperatur außerhalb des gütligen Bereichs." prompt="Eingabe zwischen 30°C bis 95°C" sqref="D8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>
      <formula1>16</formula1>
      <formula2>30</formula2>
    </dataValidation>
    <dataValidation type="whole" errorStyle="information" allowBlank="1" showErrorMessage="1" error="Eingabe außerhalb des gültigen Bereichs." prompt="20°C bis 35°C" sqref="I10">
      <formula1>20</formula1>
      <formula2>35</formula2>
    </dataValidation>
    <dataValidation type="whole" errorStyle="information" allowBlank="1" showErrorMessage="1" error="Eingabe außerhalb des gültigen Bereichs." prompt="Eingabe zwischen 0% und 100%" sqref="E12">
      <formula1>0</formula1>
      <formula2>100</formula2>
    </dataValidation>
  </dataValidations>
  <pageMargins left="0.5" right="0.47222222222222221" top="1.0555555555555556" bottom="0.81944444444444442" header="0.43055555555555558" footer="0.40277777777777779"/>
  <pageSetup paperSize="9" orientation="portrait" r:id="rId1"/>
  <headerFooter>
    <oddHeader>&amp;L&amp;G&amp;C&amp;16&amp;K00-043FREEDOM CLIMA AUSLEGUNG
Heizen und Kühlen</oddHeader>
    <oddFooter>&amp;C&amp;8JAGA Deutschland GmbH • Neuer Zollhof 1 • 40221 Düsseldorf  • T +49 (0) 211 310 27 30 • info@jaga.de • www.jaga-deutschland.de_x000D_KBC Iban: DE58 3052 4400 0000 2837 88  • Bic: KREDDEDDXXX  • Amtsgericht Düsseldorf  • HRB32157 • UST Nr: DE174665903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Freedom Clima Heizen &amp; Kühlen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Thomas</dc:creator>
  <cp:lastModifiedBy>Patrick Thomas</cp:lastModifiedBy>
  <cp:lastPrinted>2016-04-25T14:56:31Z</cp:lastPrinted>
  <dcterms:created xsi:type="dcterms:W3CDTF">2016-04-18T12:28:50Z</dcterms:created>
  <dcterms:modified xsi:type="dcterms:W3CDTF">2016-07-22T08:07:19Z</dcterms:modified>
</cp:coreProperties>
</file>