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_Server-Sync\Sync\BERECHNUNGSPROGRAMME\neue Tools\temp\"/>
    </mc:Choice>
  </mc:AlternateContent>
  <workbookProtection workbookAlgorithmName="SHA-512" workbookHashValue="eGdsHENCsIi2nudng/NcNEtKnwjSJHvACDWZQtgLOuL6yHMZAFqoE5gpzMGHvRd7jOlOyiGENF7B3KK6ir6xcw==" workbookSaltValue="ZjmIgjjxv425clACTREQtg==" workbookSpinCount="100000" lockStructure="1"/>
  <bookViews>
    <workbookView xWindow="0" yWindow="0" windowWidth="23040" windowHeight="9396" activeTab="1"/>
  </bookViews>
  <sheets>
    <sheet name="Clima Canal Heizen" sheetId="3" r:id="rId1"/>
    <sheet name="Clima Canal Heizen &amp; Kühlen" sheetId="8" r:id="rId2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2" i="8" l="1"/>
  <c r="C41" i="8"/>
  <c r="C40" i="8"/>
  <c r="C39" i="8"/>
  <c r="C38" i="8"/>
  <c r="C35" i="8"/>
  <c r="C34" i="8"/>
  <c r="C33" i="8"/>
  <c r="C32" i="8"/>
  <c r="C31" i="8"/>
  <c r="C28" i="8"/>
  <c r="C27" i="8"/>
  <c r="C26" i="8"/>
  <c r="C25" i="8"/>
  <c r="C24" i="8"/>
  <c r="C21" i="8"/>
  <c r="C20" i="8"/>
  <c r="C19" i="8"/>
  <c r="C18" i="8"/>
  <c r="C17" i="8"/>
  <c r="C17" i="3"/>
  <c r="C18" i="3"/>
  <c r="C19" i="3"/>
  <c r="C20" i="3"/>
  <c r="C21" i="3"/>
  <c r="C24" i="3"/>
  <c r="C25" i="3"/>
  <c r="C26" i="3"/>
  <c r="C27" i="3"/>
  <c r="C28" i="3"/>
  <c r="C31" i="3"/>
  <c r="C32" i="3"/>
  <c r="C33" i="3"/>
  <c r="C34" i="3"/>
  <c r="C35" i="3"/>
  <c r="C38" i="3"/>
  <c r="C39" i="3"/>
  <c r="C40" i="3"/>
  <c r="C41" i="3"/>
  <c r="C42" i="3"/>
  <c r="F42" i="8"/>
  <c r="F41" i="8"/>
  <c r="F40" i="8"/>
  <c r="F39" i="8"/>
  <c r="F38" i="8"/>
  <c r="F35" i="8"/>
  <c r="F34" i="8"/>
  <c r="F33" i="8"/>
  <c r="F32" i="8"/>
  <c r="F31" i="8"/>
  <c r="F28" i="8"/>
  <c r="F27" i="8"/>
  <c r="F26" i="8"/>
  <c r="F25" i="8"/>
  <c r="F24" i="8"/>
  <c r="F21" i="8"/>
  <c r="F20" i="8"/>
  <c r="F19" i="8"/>
  <c r="F18" i="8"/>
  <c r="F17" i="8"/>
  <c r="G15" i="8" l="1"/>
  <c r="F15" i="8"/>
  <c r="K42" i="8" l="1"/>
  <c r="D42" i="8"/>
  <c r="E42" i="8" s="1"/>
  <c r="K41" i="8"/>
  <c r="D41" i="8"/>
  <c r="E41" i="8" s="1"/>
  <c r="K40" i="8"/>
  <c r="D40" i="8"/>
  <c r="E40" i="8" s="1"/>
  <c r="K39" i="8"/>
  <c r="D39" i="8"/>
  <c r="E39" i="8" s="1"/>
  <c r="K38" i="8"/>
  <c r="D38" i="8"/>
  <c r="E38" i="8" s="1"/>
  <c r="M36" i="8"/>
  <c r="L36" i="8"/>
  <c r="K35" i="8"/>
  <c r="D35" i="8"/>
  <c r="E35" i="8" s="1"/>
  <c r="K34" i="8"/>
  <c r="D34" i="8"/>
  <c r="E34" i="8" s="1"/>
  <c r="K33" i="8"/>
  <c r="D33" i="8"/>
  <c r="E33" i="8" s="1"/>
  <c r="K32" i="8"/>
  <c r="D32" i="8"/>
  <c r="E32" i="8" s="1"/>
  <c r="K31" i="8"/>
  <c r="D31" i="8"/>
  <c r="E31" i="8" s="1"/>
  <c r="L29" i="8"/>
  <c r="J29" i="8"/>
  <c r="B29" i="8"/>
  <c r="K28" i="8"/>
  <c r="K29" i="8" s="1"/>
  <c r="K27" i="8"/>
  <c r="D27" i="8"/>
  <c r="E27" i="8" s="1"/>
  <c r="K26" i="8"/>
  <c r="D26" i="8"/>
  <c r="E26" i="8" s="1"/>
  <c r="K25" i="8"/>
  <c r="D25" i="8"/>
  <c r="E25" i="8" s="1"/>
  <c r="K24" i="8"/>
  <c r="D24" i="8"/>
  <c r="E24" i="8" s="1"/>
  <c r="J22" i="8"/>
  <c r="B22" i="8"/>
  <c r="M43" i="8" s="1"/>
  <c r="K21" i="8"/>
  <c r="G21" i="8"/>
  <c r="H21" i="8" s="1"/>
  <c r="D21" i="8"/>
  <c r="E21" i="8" s="1"/>
  <c r="K20" i="8"/>
  <c r="G20" i="8"/>
  <c r="H20" i="8" s="1"/>
  <c r="D20" i="8"/>
  <c r="E20" i="8" s="1"/>
  <c r="K19" i="8"/>
  <c r="G19" i="8"/>
  <c r="H19" i="8" s="1"/>
  <c r="D19" i="8"/>
  <c r="E19" i="8" s="1"/>
  <c r="K18" i="8"/>
  <c r="G18" i="8"/>
  <c r="H18" i="8" s="1"/>
  <c r="D18" i="8"/>
  <c r="E18" i="8" s="1"/>
  <c r="K17" i="8"/>
  <c r="D17" i="8"/>
  <c r="E17" i="8" s="1"/>
  <c r="C15" i="8"/>
  <c r="C29" i="8" l="1"/>
  <c r="D29" i="8" s="1"/>
  <c r="E29" i="8" s="1"/>
  <c r="G42" i="8"/>
  <c r="H42" i="8" s="1"/>
  <c r="I42" i="8" s="1"/>
  <c r="G32" i="8"/>
  <c r="H32" i="8" s="1"/>
  <c r="I32" i="8" s="1"/>
  <c r="G41" i="8"/>
  <c r="H41" i="8" s="1"/>
  <c r="I41" i="8" s="1"/>
  <c r="G26" i="8"/>
  <c r="H26" i="8" s="1"/>
  <c r="I26" i="8" s="1"/>
  <c r="G35" i="8"/>
  <c r="H35" i="8" s="1"/>
  <c r="I35" i="8" s="1"/>
  <c r="G39" i="8"/>
  <c r="H39" i="8" s="1"/>
  <c r="I39" i="8" s="1"/>
  <c r="G17" i="8"/>
  <c r="H17" i="8" s="1"/>
  <c r="I17" i="8" s="1"/>
  <c r="G31" i="8"/>
  <c r="H31" i="8" s="1"/>
  <c r="I31" i="8" s="1"/>
  <c r="G28" i="8"/>
  <c r="H28" i="8" s="1"/>
  <c r="I28" i="8" s="1"/>
  <c r="G24" i="8"/>
  <c r="H24" i="8" s="1"/>
  <c r="I24" i="8" s="1"/>
  <c r="G33" i="8"/>
  <c r="H33" i="8" s="1"/>
  <c r="I33" i="8" s="1"/>
  <c r="G27" i="8"/>
  <c r="H27" i="8" s="1"/>
  <c r="I27" i="8" s="1"/>
  <c r="G40" i="8"/>
  <c r="H40" i="8" s="1"/>
  <c r="I40" i="8" s="1"/>
  <c r="G25" i="8"/>
  <c r="H25" i="8" s="1"/>
  <c r="I25" i="8" s="1"/>
  <c r="G34" i="8"/>
  <c r="H34" i="8" s="1"/>
  <c r="I34" i="8" s="1"/>
  <c r="G38" i="8"/>
  <c r="H38" i="8" s="1"/>
  <c r="I38" i="8" s="1"/>
  <c r="I20" i="8"/>
  <c r="I18" i="8"/>
  <c r="I21" i="8"/>
  <c r="I19" i="8"/>
  <c r="F43" i="8"/>
  <c r="H43" i="8" s="1"/>
  <c r="I43" i="8" s="1"/>
  <c r="K22" i="8"/>
  <c r="D28" i="8"/>
  <c r="E28" i="8" s="1"/>
  <c r="M29" i="8"/>
  <c r="F36" i="8"/>
  <c r="H36" i="8" s="1"/>
  <c r="I36" i="8" s="1"/>
  <c r="C22" i="8"/>
  <c r="D22" i="8" s="1"/>
  <c r="E22" i="8" s="1"/>
  <c r="L22" i="8"/>
  <c r="J43" i="8"/>
  <c r="M22" i="8"/>
  <c r="F29" i="8"/>
  <c r="H29" i="8" s="1"/>
  <c r="I29" i="8" s="1"/>
  <c r="B43" i="8"/>
  <c r="K43" i="8"/>
  <c r="J36" i="8"/>
  <c r="C43" i="8"/>
  <c r="D43" i="8" s="1"/>
  <c r="E43" i="8" s="1"/>
  <c r="L43" i="8"/>
  <c r="C36" i="8"/>
  <c r="D36" i="8" s="1"/>
  <c r="E36" i="8" s="1"/>
  <c r="F22" i="8"/>
  <c r="B36" i="8"/>
  <c r="K36" i="8"/>
  <c r="H22" i="8" l="1"/>
  <c r="I22" i="8" s="1"/>
  <c r="G22" i="8"/>
  <c r="J24" i="3"/>
  <c r="J25" i="3"/>
  <c r="J38" i="3" l="1"/>
  <c r="J31" i="3"/>
  <c r="J32" i="3"/>
  <c r="J17" i="3"/>
  <c r="J18" i="3"/>
  <c r="F15" i="3" l="1"/>
  <c r="C15" i="3"/>
  <c r="J19" i="3" l="1"/>
  <c r="J20" i="3"/>
  <c r="J21" i="3"/>
  <c r="J39" i="3"/>
  <c r="J40" i="3"/>
  <c r="J41" i="3"/>
  <c r="J42" i="3"/>
  <c r="I29" i="3"/>
  <c r="F42" i="3"/>
  <c r="G42" i="3" s="1"/>
  <c r="H42" i="3" s="1"/>
  <c r="F41" i="3"/>
  <c r="G41" i="3" s="1"/>
  <c r="H41" i="3" s="1"/>
  <c r="F40" i="3"/>
  <c r="G40" i="3" s="1"/>
  <c r="H40" i="3" s="1"/>
  <c r="F39" i="3"/>
  <c r="G39" i="3" s="1"/>
  <c r="H39" i="3" s="1"/>
  <c r="F38" i="3"/>
  <c r="G38" i="3" s="1"/>
  <c r="F35" i="3"/>
  <c r="G35" i="3" s="1"/>
  <c r="H35" i="3" s="1"/>
  <c r="F34" i="3"/>
  <c r="G34" i="3" s="1"/>
  <c r="H34" i="3" s="1"/>
  <c r="F33" i="3"/>
  <c r="G33" i="3" s="1"/>
  <c r="H33" i="3" s="1"/>
  <c r="F32" i="3"/>
  <c r="G32" i="3" s="1"/>
  <c r="H32" i="3" s="1"/>
  <c r="F31" i="3"/>
  <c r="G31" i="3" s="1"/>
  <c r="F28" i="3"/>
  <c r="G28" i="3" s="1"/>
  <c r="H28" i="3" s="1"/>
  <c r="F27" i="3"/>
  <c r="G27" i="3" s="1"/>
  <c r="H27" i="3" s="1"/>
  <c r="F26" i="3"/>
  <c r="G26" i="3" s="1"/>
  <c r="H26" i="3" s="1"/>
  <c r="F25" i="3"/>
  <c r="G25" i="3" s="1"/>
  <c r="H25" i="3" s="1"/>
  <c r="F24" i="3"/>
  <c r="G24" i="3" s="1"/>
  <c r="H24" i="3" s="1"/>
  <c r="F21" i="3"/>
  <c r="G21" i="3" s="1"/>
  <c r="H21" i="3" s="1"/>
  <c r="F20" i="3"/>
  <c r="G20" i="3" s="1"/>
  <c r="H20" i="3" s="1"/>
  <c r="F19" i="3"/>
  <c r="G19" i="3" s="1"/>
  <c r="H19" i="3" s="1"/>
  <c r="F18" i="3"/>
  <c r="F17" i="3"/>
  <c r="D42" i="3"/>
  <c r="E42" i="3" s="1"/>
  <c r="D41" i="3"/>
  <c r="E41" i="3" s="1"/>
  <c r="D40" i="3"/>
  <c r="E40" i="3" s="1"/>
  <c r="D39" i="3"/>
  <c r="E39" i="3" s="1"/>
  <c r="D38" i="3"/>
  <c r="D35" i="3"/>
  <c r="E35" i="3" s="1"/>
  <c r="D34" i="3"/>
  <c r="E34" i="3" s="1"/>
  <c r="D33" i="3"/>
  <c r="E33" i="3" s="1"/>
  <c r="D32" i="3"/>
  <c r="E32" i="3" s="1"/>
  <c r="D31" i="3"/>
  <c r="J26" i="3"/>
  <c r="J27" i="3"/>
  <c r="J28" i="3"/>
  <c r="J33" i="3"/>
  <c r="J34" i="3"/>
  <c r="J35" i="3"/>
  <c r="D28" i="3"/>
  <c r="E28" i="3" s="1"/>
  <c r="D27" i="3"/>
  <c r="E27" i="3" s="1"/>
  <c r="D26" i="3"/>
  <c r="E26" i="3" s="1"/>
  <c r="D25" i="3"/>
  <c r="E25" i="3" s="1"/>
  <c r="D24" i="3"/>
  <c r="E24" i="3" s="1"/>
  <c r="D21" i="3"/>
  <c r="E21" i="3" s="1"/>
  <c r="D20" i="3"/>
  <c r="E20" i="3" s="1"/>
  <c r="D19" i="3"/>
  <c r="E19" i="3" s="1"/>
  <c r="G17" i="3" l="1"/>
  <c r="H17" i="3" s="1"/>
  <c r="D17" i="3"/>
  <c r="E17" i="3" s="1"/>
  <c r="H38" i="3"/>
  <c r="H31" i="3"/>
  <c r="G18" i="3"/>
  <c r="H18" i="3" s="1"/>
  <c r="B22" i="3"/>
  <c r="I36" i="3" s="1"/>
  <c r="I22" i="3"/>
  <c r="L43" i="3"/>
  <c r="E38" i="3"/>
  <c r="E31" i="3"/>
  <c r="D18" i="3"/>
  <c r="E18" i="3" s="1"/>
  <c r="C29" i="3" l="1"/>
  <c r="D29" i="3" s="1"/>
  <c r="E29" i="3" s="1"/>
  <c r="J29" i="3"/>
  <c r="F43" i="3"/>
  <c r="G43" i="3" s="1"/>
  <c r="H43" i="3" s="1"/>
  <c r="L29" i="3"/>
  <c r="L36" i="3"/>
  <c r="F36" i="3"/>
  <c r="G36" i="3" s="1"/>
  <c r="H36" i="3" s="1"/>
  <c r="K29" i="3"/>
  <c r="J36" i="3"/>
  <c r="I43" i="3"/>
  <c r="B43" i="3"/>
  <c r="K36" i="3"/>
  <c r="B36" i="3"/>
  <c r="F29" i="3"/>
  <c r="G29" i="3" s="1"/>
  <c r="H29" i="3" s="1"/>
  <c r="J22" i="3"/>
  <c r="K22" i="3"/>
  <c r="L22" i="3"/>
  <c r="F22" i="3"/>
  <c r="G22" i="3" s="1"/>
  <c r="H22" i="3" s="1"/>
  <c r="J43" i="3"/>
  <c r="C43" i="3"/>
  <c r="D43" i="3" s="1"/>
  <c r="E43" i="3" s="1"/>
  <c r="K43" i="3"/>
  <c r="C22" i="3"/>
  <c r="D22" i="3" s="1"/>
  <c r="E22" i="3" s="1"/>
  <c r="B29" i="3"/>
  <c r="C36" i="3"/>
  <c r="D36" i="3" s="1"/>
  <c r="E36" i="3" s="1"/>
</calcChain>
</file>

<file path=xl/sharedStrings.xml><?xml version="1.0" encoding="utf-8"?>
<sst xmlns="http://schemas.openxmlformats.org/spreadsheetml/2006/main" count="75" uniqueCount="36">
  <si>
    <t>Vorlauftemp. [°C]</t>
  </si>
  <si>
    <t>Raumtemp. [°C]</t>
  </si>
  <si>
    <t>Drehzahlstufe:</t>
  </si>
  <si>
    <t>Regelspannung: [V]</t>
  </si>
  <si>
    <t>Luftvolumenstrom [m³/h]</t>
  </si>
  <si>
    <t>Heizmittelstrom [l/h]</t>
  </si>
  <si>
    <t>Heizen:</t>
  </si>
  <si>
    <t>Kühlmittelstrom [l/h]</t>
  </si>
  <si>
    <t>Rücklauftemp. [°C]</t>
  </si>
  <si>
    <t>Eingabefelder</t>
  </si>
  <si>
    <t>Temperaturen</t>
  </si>
  <si>
    <t>Auslegungsrandbedingungen</t>
  </si>
  <si>
    <t>Spezifische Lüfterdrehzahl [%]</t>
  </si>
  <si>
    <t xml:space="preserve"> (Spez.)</t>
  </si>
  <si>
    <t>Spez.**</t>
  </si>
  <si>
    <t>Leistungsaufnahme [W]</t>
  </si>
  <si>
    <t>zug. wassers. Druckverlust [kPa]</t>
  </si>
  <si>
    <t>Clima Canal Höhe 8,5cm Breite 18cm Länge 144.3cm (Typ 3) 14,4kg</t>
  </si>
  <si>
    <t>Clima Canal Höhe 8,5cm Breite 18cm Länge 180.3cm (Typ 4) 18,8kg</t>
  </si>
  <si>
    <t>2-Leiter</t>
  </si>
  <si>
    <t>System:</t>
  </si>
  <si>
    <t>*Leistungsangaben nach DIN EN 16430:2015</t>
  </si>
  <si>
    <t>**Schallleistungspegel nach ISO 3741:2010</t>
  </si>
  <si>
    <t>***Schalldruckpegel bei angenommener Raumdämpfung von 8dB(A)</t>
  </si>
  <si>
    <t>Schallleistungspegel** [dB(A)]</t>
  </si>
  <si>
    <t>Schalldruckpegel *** [dB(A)]</t>
  </si>
  <si>
    <t>Clima Canal Höhe 8,5cm Breite 18cm  Länge 72.3cm (Typ 1) 6,1kg</t>
  </si>
  <si>
    <t>Clima Canal Höhe 8,5cm Breite 18cm Länge 108.3cm (Typ 2) 10,1g</t>
  </si>
  <si>
    <t>Kühlen:</t>
  </si>
  <si>
    <t>Clima Canal Höhe 10,0cm Breite 18cm  Länge 72.3cm (Typ 1) 7,8kg</t>
  </si>
  <si>
    <t>Clima Canal Höhe 10,0cm Breite 18cm Länge 108.3cm (Typ 2) 12,5kg</t>
  </si>
  <si>
    <t>Clima Canal Höhe 10,0cm Breite 18cm Länge 144.3cm (Typ 3) 17,9kg</t>
  </si>
  <si>
    <t>Clima Canal Höhe 10,0cm Breite 18cm Länge 180.3cm (Typ 4) 23,9kg</t>
  </si>
  <si>
    <t>rel. Luftf. [°C]</t>
  </si>
  <si>
    <t>n-value</t>
  </si>
  <si>
    <t>v22-06-2017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</si>
</sst>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scheme val="minor"/>
    </font>
    <font>
      <i/>
      <sz val="11"/>
      <color theme="7" tint="0.79998168889431442"/>
      <name val="Calibri"/>
      <scheme val="minor"/>
    </font>
    <font>
      <i/>
      <sz val="11"/>
      <name val="Calibri"/>
      <scheme val="minor"/>
    </font>
    <font>
      <i/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0" tint="-0.34998626667073579"/>
      </right>
      <top/>
      <bottom style="thin">
        <color theme="6"/>
      </bottom>
      <diagonal/>
    </border>
    <border>
      <left/>
      <right/>
      <top style="thin">
        <color theme="6"/>
      </top>
      <bottom/>
      <diagonal/>
    </border>
  </borders>
  <cellStyleXfs count="2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2" fillId="2" borderId="0" xfId="0" applyFont="1" applyFill="1" applyBorder="1"/>
    <xf numFmtId="0" fontId="0" fillId="3" borderId="0" xfId="0" applyFill="1" applyBorder="1"/>
    <xf numFmtId="0" fontId="1" fillId="3" borderId="0" xfId="0" applyFont="1" applyFill="1" applyBorder="1"/>
    <xf numFmtId="0" fontId="0" fillId="3" borderId="0" xfId="0" applyFill="1" applyBorder="1" applyAlignment="1">
      <alignment horizontal="left"/>
    </xf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1" fillId="3" borderId="5" xfId="0" applyFont="1" applyFill="1" applyBorder="1"/>
    <xf numFmtId="0" fontId="0" fillId="3" borderId="6" xfId="0" applyFill="1" applyBorder="1"/>
    <xf numFmtId="0" fontId="0" fillId="3" borderId="5" xfId="0" applyFill="1" applyBorder="1"/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3" borderId="8" xfId="0" applyFill="1" applyBorder="1"/>
    <xf numFmtId="0" fontId="0" fillId="3" borderId="9" xfId="0" applyFill="1" applyBorder="1"/>
    <xf numFmtId="0" fontId="1" fillId="3" borderId="0" xfId="0" applyFont="1" applyFill="1" applyBorder="1" applyAlignment="1">
      <alignment horizontal="center" vertical="center" textRotation="90" wrapText="1"/>
    </xf>
    <xf numFmtId="0" fontId="3" fillId="3" borderId="0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/>
    <xf numFmtId="49" fontId="8" fillId="4" borderId="10" xfId="0" applyNumberFormat="1" applyFont="1" applyFill="1" applyBorder="1"/>
    <xf numFmtId="0" fontId="9" fillId="4" borderId="1" xfId="0" applyFont="1" applyFill="1" applyBorder="1" applyAlignment="1">
      <alignment horizontal="left"/>
    </xf>
    <xf numFmtId="0" fontId="0" fillId="2" borderId="8" xfId="0" applyFill="1" applyBorder="1"/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7" fillId="2" borderId="11" xfId="0" applyFont="1" applyFill="1" applyBorder="1"/>
    <xf numFmtId="1" fontId="7" fillId="2" borderId="12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1" fontId="7" fillId="2" borderId="13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10" fillId="3" borderId="0" xfId="0" applyFont="1" applyFill="1" applyBorder="1"/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1" fillId="3" borderId="3" xfId="0" applyFont="1" applyFill="1" applyBorder="1" applyAlignment="1">
      <alignment horizontal="center" vertical="center" textRotation="90" wrapText="1"/>
    </xf>
    <xf numFmtId="2" fontId="7" fillId="2" borderId="13" xfId="0" applyNumberFormat="1" applyFon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9" fontId="0" fillId="2" borderId="5" xfId="0" applyNumberFormat="1" applyFill="1" applyBorder="1"/>
    <xf numFmtId="0" fontId="11" fillId="2" borderId="6" xfId="0" applyFont="1" applyFill="1" applyBorder="1" applyAlignment="1">
      <alignment horizontal="center" vertical="center"/>
    </xf>
    <xf numFmtId="0" fontId="7" fillId="2" borderId="7" xfId="0" applyFont="1" applyFill="1" applyBorder="1"/>
    <xf numFmtId="0" fontId="7" fillId="2" borderId="8" xfId="0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2" fontId="7" fillId="2" borderId="9" xfId="0" applyNumberFormat="1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/>
    </xf>
    <xf numFmtId="1" fontId="7" fillId="2" borderId="9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9" fontId="0" fillId="2" borderId="14" xfId="0" applyNumberFormat="1" applyFill="1" applyBorder="1"/>
    <xf numFmtId="0" fontId="0" fillId="2" borderId="15" xfId="0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1" fontId="0" fillId="2" borderId="15" xfId="0" applyNumberFormat="1" applyFill="1" applyBorder="1" applyAlignment="1">
      <alignment horizontal="center" vertical="center"/>
    </xf>
    <xf numFmtId="2" fontId="0" fillId="2" borderId="16" xfId="0" applyNumberFormat="1" applyFill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/>
    </xf>
    <xf numFmtId="1" fontId="0" fillId="2" borderId="6" xfId="0" applyNumberFormat="1" applyFill="1" applyBorder="1" applyAlignment="1">
      <alignment horizontal="center" vertical="center"/>
    </xf>
    <xf numFmtId="1" fontId="0" fillId="2" borderId="16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2" fillId="2" borderId="0" xfId="0" applyFont="1" applyFill="1" applyBorder="1" applyAlignment="1">
      <alignment horizontal="right"/>
    </xf>
    <xf numFmtId="164" fontId="11" fillId="2" borderId="0" xfId="0" applyNumberFormat="1" applyFont="1" applyFill="1" applyBorder="1" applyAlignment="1">
      <alignment horizontal="center" vertical="center"/>
    </xf>
    <xf numFmtId="164" fontId="11" fillId="2" borderId="14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0" fillId="2" borderId="17" xfId="0" applyFill="1" applyBorder="1"/>
    <xf numFmtId="0" fontId="0" fillId="3" borderId="5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</cellXfs>
  <cellStyles count="2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54"/>
  <sheetViews>
    <sheetView topLeftCell="A10" zoomScaleNormal="100" workbookViewId="0">
      <selection activeCell="D8" sqref="D8"/>
    </sheetView>
  </sheetViews>
  <sheetFormatPr baseColWidth="10" defaultColWidth="0" defaultRowHeight="14.4" zeroHeight="1" x14ac:dyDescent="0.3"/>
  <cols>
    <col min="1" max="1" width="7" style="1" customWidth="1"/>
    <col min="2" max="2" width="6.109375" style="1" customWidth="1"/>
    <col min="3" max="3" width="7" style="1" customWidth="1"/>
    <col min="4" max="4" width="6.77734375" style="1" customWidth="1"/>
    <col min="5" max="5" width="7" style="1" customWidth="1"/>
    <col min="6" max="8" width="7" style="1" hidden="1" customWidth="1"/>
    <col min="9" max="12" width="7" style="1" customWidth="1"/>
    <col min="13" max="13" width="2.109375" style="1" customWidth="1"/>
    <col min="14" max="16384" width="11.44140625" style="1" hidden="1"/>
  </cols>
  <sheetData>
    <row r="1" spans="1:12" s="3" customFormat="1" x14ac:dyDescent="0.3">
      <c r="A1" s="23"/>
    </row>
    <row r="2" spans="1:12" s="3" customFormat="1" x14ac:dyDescent="0.3">
      <c r="A2" s="25" t="s">
        <v>9</v>
      </c>
      <c r="B2" s="24"/>
    </row>
    <row r="3" spans="1:12" s="3" customFormat="1" x14ac:dyDescent="0.3">
      <c r="A3" s="23"/>
    </row>
    <row r="4" spans="1:12" s="3" customFormat="1" x14ac:dyDescent="0.3">
      <c r="A4" s="37" t="s">
        <v>11</v>
      </c>
    </row>
    <row r="5" spans="1:12" s="3" customFormat="1" ht="6" customHeight="1" x14ac:dyDescent="0.3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x14ac:dyDescent="0.3">
      <c r="A6" s="14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15"/>
    </row>
    <row r="7" spans="1:12" x14ac:dyDescent="0.3">
      <c r="A7" s="14" t="s">
        <v>6</v>
      </c>
      <c r="B7" s="8"/>
      <c r="C7" s="8"/>
      <c r="D7" s="8"/>
      <c r="E7" s="8"/>
      <c r="F7" s="9"/>
      <c r="G7" s="9"/>
      <c r="H7" s="8"/>
      <c r="I7" s="8"/>
      <c r="J7" s="8"/>
      <c r="K7" s="38"/>
      <c r="L7" s="15"/>
    </row>
    <row r="8" spans="1:12" x14ac:dyDescent="0.3">
      <c r="A8" s="73" t="s">
        <v>0</v>
      </c>
      <c r="B8" s="74"/>
      <c r="C8" s="74"/>
      <c r="D8" s="39">
        <v>75</v>
      </c>
      <c r="E8" s="10"/>
      <c r="F8" s="74"/>
      <c r="G8" s="74"/>
      <c r="H8" s="74"/>
      <c r="I8" s="8"/>
      <c r="J8" s="8"/>
      <c r="K8" s="8"/>
      <c r="L8" s="15"/>
    </row>
    <row r="9" spans="1:12" x14ac:dyDescent="0.3">
      <c r="A9" s="73" t="s">
        <v>8</v>
      </c>
      <c r="B9" s="74"/>
      <c r="C9" s="74"/>
      <c r="D9" s="39">
        <v>65</v>
      </c>
      <c r="E9" s="10"/>
      <c r="F9" s="74"/>
      <c r="G9" s="74"/>
      <c r="H9" s="74"/>
      <c r="I9" s="8"/>
      <c r="J9" s="8"/>
      <c r="K9" s="8"/>
      <c r="L9" s="15"/>
    </row>
    <row r="10" spans="1:12" x14ac:dyDescent="0.3">
      <c r="A10" s="73" t="s">
        <v>1</v>
      </c>
      <c r="B10" s="74"/>
      <c r="C10" s="74"/>
      <c r="D10" s="39">
        <v>20</v>
      </c>
      <c r="E10" s="10"/>
      <c r="F10" s="74"/>
      <c r="G10" s="74"/>
      <c r="H10" s="74"/>
      <c r="I10" s="8"/>
      <c r="J10" s="8"/>
      <c r="K10" s="8"/>
      <c r="L10" s="15"/>
    </row>
    <row r="11" spans="1:12" x14ac:dyDescent="0.3">
      <c r="A11" s="16"/>
      <c r="B11" s="8"/>
      <c r="C11" s="8"/>
      <c r="D11" s="8"/>
      <c r="E11" s="8"/>
      <c r="F11" s="8"/>
      <c r="G11" s="8"/>
      <c r="H11" s="8"/>
      <c r="I11" s="8"/>
      <c r="J11" s="8"/>
      <c r="K11" s="8"/>
      <c r="L11" s="15"/>
    </row>
    <row r="12" spans="1:12" ht="13.95" hidden="1" customHeight="1" x14ac:dyDescent="0.3">
      <c r="A12" s="78" t="s">
        <v>12</v>
      </c>
      <c r="B12" s="79"/>
      <c r="C12" s="79"/>
      <c r="D12" s="79"/>
      <c r="E12" s="40">
        <v>100</v>
      </c>
      <c r="F12" s="8" t="s">
        <v>13</v>
      </c>
      <c r="G12" s="8"/>
      <c r="H12" s="8" t="s">
        <v>20</v>
      </c>
      <c r="I12" s="8" t="s">
        <v>19</v>
      </c>
      <c r="J12" s="8"/>
      <c r="K12" s="8"/>
      <c r="L12" s="15"/>
    </row>
    <row r="13" spans="1:12" ht="6" customHeight="1" x14ac:dyDescent="0.3">
      <c r="A13" s="17"/>
      <c r="B13" s="18"/>
      <c r="C13" s="18"/>
      <c r="D13" s="18"/>
      <c r="E13" s="19"/>
      <c r="F13" s="19"/>
      <c r="G13" s="19"/>
      <c r="H13" s="19"/>
      <c r="I13" s="19"/>
      <c r="J13" s="19"/>
      <c r="K13" s="19"/>
      <c r="L13" s="20"/>
    </row>
    <row r="14" spans="1:12" x14ac:dyDescent="0.3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s="2" customFormat="1" ht="95.4" customHeight="1" x14ac:dyDescent="0.3">
      <c r="A15" s="28" t="s">
        <v>2</v>
      </c>
      <c r="B15" s="21" t="s">
        <v>3</v>
      </c>
      <c r="C15" s="28" t="str">
        <f>CONCATENATE("Wärmeleistung* ",D8,"/",D9,"/",D10," [W]")</f>
        <v>Wärmeleistung* 75/65/20 [W]</v>
      </c>
      <c r="D15" s="41" t="s">
        <v>5</v>
      </c>
      <c r="E15" s="45" t="s">
        <v>16</v>
      </c>
      <c r="F15" s="21" t="str">
        <f>CONCATENATE("Tot. Kälteleistung* ",I8,"/",I9,"/",I10," [W]")</f>
        <v>Tot. Kälteleistung* // [W]</v>
      </c>
      <c r="G15" s="21" t="s">
        <v>7</v>
      </c>
      <c r="H15" s="22" t="s">
        <v>16</v>
      </c>
      <c r="I15" s="28" t="s">
        <v>25</v>
      </c>
      <c r="J15" s="44" t="s">
        <v>24</v>
      </c>
      <c r="K15" s="21" t="s">
        <v>15</v>
      </c>
      <c r="L15" s="27" t="s">
        <v>4</v>
      </c>
    </row>
    <row r="16" spans="1:12" ht="18" customHeight="1" x14ac:dyDescent="0.3">
      <c r="A16" s="75" t="s">
        <v>26</v>
      </c>
      <c r="B16" s="76"/>
      <c r="C16" s="75"/>
      <c r="D16" s="77"/>
      <c r="E16" s="76"/>
      <c r="F16" s="76"/>
      <c r="G16" s="76"/>
      <c r="H16" s="76"/>
      <c r="I16" s="75"/>
      <c r="J16" s="76"/>
      <c r="K16" s="76"/>
      <c r="L16" s="77"/>
    </row>
    <row r="17" spans="1:12" x14ac:dyDescent="0.3">
      <c r="A17" s="46">
        <v>0.2</v>
      </c>
      <c r="B17" s="4">
        <v>2</v>
      </c>
      <c r="C17" s="35">
        <f>276*(($D$8+$D$9)/2-$D$10)/50</f>
        <v>276</v>
      </c>
      <c r="D17" s="5">
        <f>C17/(($D$8-$D$9)*1.163)</f>
        <v>23.731728288907995</v>
      </c>
      <c r="E17" s="43">
        <f>0.000115720760310885*D17^1.96267663452922</f>
        <v>5.7907936893927758E-2</v>
      </c>
      <c r="F17" s="5">
        <f>53*($I$10-(($I$8+$I$9)/2))/17.5</f>
        <v>0</v>
      </c>
      <c r="G17" s="5" t="e">
        <f>F17/(($I$9-$I$8)*1.163)</f>
        <v>#DIV/0!</v>
      </c>
      <c r="H17" s="6" t="e">
        <f>0.000115720760310885*G17^1.96267663452922</f>
        <v>#DIV/0!</v>
      </c>
      <c r="I17" s="35">
        <v>14</v>
      </c>
      <c r="J17" s="64">
        <f t="shared" ref="J17:J21" si="0">I17+8</f>
        <v>22</v>
      </c>
      <c r="K17" s="69">
        <v>0.5</v>
      </c>
      <c r="L17" s="47">
        <v>24</v>
      </c>
    </row>
    <row r="18" spans="1:12" x14ac:dyDescent="0.3">
      <c r="A18" s="46">
        <v>0.4</v>
      </c>
      <c r="B18" s="4">
        <v>4</v>
      </c>
      <c r="C18" s="35">
        <f>496*(($D$8+$D$9)/2-$D$10)/50</f>
        <v>496</v>
      </c>
      <c r="D18" s="5">
        <f>C18/(($D$8-$D$9)*1.163)</f>
        <v>42.648323301805675</v>
      </c>
      <c r="E18" s="43">
        <f>0.000115720760310885*D18^1.96267663452922</f>
        <v>0.18297079510410438</v>
      </c>
      <c r="F18" s="5">
        <f>115*($I$10-(($I$8+$I$9)/2))/17.5</f>
        <v>0</v>
      </c>
      <c r="G18" s="5" t="e">
        <f>F18/(($I$9-$I$8)*1.163)</f>
        <v>#DIV/0!</v>
      </c>
      <c r="H18" s="6" t="e">
        <f>0.000115720760310885*G18^1.96267663452922</f>
        <v>#DIV/0!</v>
      </c>
      <c r="I18" s="35">
        <v>15</v>
      </c>
      <c r="J18" s="64">
        <f t="shared" si="0"/>
        <v>23</v>
      </c>
      <c r="K18" s="69">
        <v>0.8</v>
      </c>
      <c r="L18" s="47">
        <v>37</v>
      </c>
    </row>
    <row r="19" spans="1:12" x14ac:dyDescent="0.3">
      <c r="A19" s="46">
        <v>0.6</v>
      </c>
      <c r="B19" s="4">
        <v>6</v>
      </c>
      <c r="C19" s="35">
        <f>699*(($D$8+$D$9)/2-$D$10)/50</f>
        <v>699</v>
      </c>
      <c r="D19" s="5">
        <f t="shared" ref="D19:D21" si="1">C19/(($D$8-$D$9)*1.163)</f>
        <v>60.103181427343074</v>
      </c>
      <c r="E19" s="43">
        <f t="shared" ref="E19:E21" si="2">0.000115720760310885*D19^1.96267663452922</f>
        <v>0.3587663980234182</v>
      </c>
      <c r="F19" s="5">
        <f>182*($I$10-(($I$8+$I$9)/2))/17.5</f>
        <v>0</v>
      </c>
      <c r="G19" s="5" t="e">
        <f t="shared" ref="G19:G21" si="3">F19/(($I$9-$I$8)*1.163)</f>
        <v>#DIV/0!</v>
      </c>
      <c r="H19" s="6" t="e">
        <f t="shared" ref="H19:H21" si="4">0.000115720760310885*G19^1.96267663452922</f>
        <v>#DIV/0!</v>
      </c>
      <c r="I19" s="35">
        <v>23</v>
      </c>
      <c r="J19" s="64">
        <f t="shared" si="0"/>
        <v>31</v>
      </c>
      <c r="K19" s="69">
        <v>1.3</v>
      </c>
      <c r="L19" s="47">
        <v>52</v>
      </c>
    </row>
    <row r="20" spans="1:12" x14ac:dyDescent="0.3">
      <c r="A20" s="46">
        <v>0.8</v>
      </c>
      <c r="B20" s="4">
        <v>8</v>
      </c>
      <c r="C20" s="35">
        <f>891*(($D$8+$D$9)/2-$D$10)/50</f>
        <v>891</v>
      </c>
      <c r="D20" s="5">
        <f t="shared" si="1"/>
        <v>76.612209802235597</v>
      </c>
      <c r="E20" s="43">
        <f t="shared" si="2"/>
        <v>0.57766880352908079</v>
      </c>
      <c r="F20" s="5">
        <f>252*($I$10-(($I$8+$I$9)/2))/17.5</f>
        <v>0</v>
      </c>
      <c r="G20" s="5" t="e">
        <f t="shared" si="3"/>
        <v>#DIV/0!</v>
      </c>
      <c r="H20" s="6" t="e">
        <f t="shared" si="4"/>
        <v>#DIV/0!</v>
      </c>
      <c r="I20" s="35">
        <v>28</v>
      </c>
      <c r="J20" s="64">
        <f t="shared" si="0"/>
        <v>36</v>
      </c>
      <c r="K20" s="69">
        <v>2.1</v>
      </c>
      <c r="L20" s="47">
        <v>68</v>
      </c>
    </row>
    <row r="21" spans="1:12" x14ac:dyDescent="0.3">
      <c r="A21" s="46">
        <v>1</v>
      </c>
      <c r="B21" s="4">
        <v>10</v>
      </c>
      <c r="C21" s="35">
        <f>1075*(($D$8+$D$9)/2-$D$10)/50</f>
        <v>1075</v>
      </c>
      <c r="D21" s="5">
        <f t="shared" si="1"/>
        <v>92.433361994840922</v>
      </c>
      <c r="E21" s="43">
        <f t="shared" si="2"/>
        <v>0.83502106700289624</v>
      </c>
      <c r="F21" s="5">
        <f>324*($I$10-(($I$8+$I$9)/2))/17.5</f>
        <v>0</v>
      </c>
      <c r="G21" s="5" t="e">
        <f t="shared" si="3"/>
        <v>#DIV/0!</v>
      </c>
      <c r="H21" s="6" t="e">
        <f t="shared" si="4"/>
        <v>#DIV/0!</v>
      </c>
      <c r="I21" s="35">
        <v>34</v>
      </c>
      <c r="J21" s="64">
        <f t="shared" si="0"/>
        <v>42</v>
      </c>
      <c r="K21" s="69">
        <v>3</v>
      </c>
      <c r="L21" s="47">
        <v>79</v>
      </c>
    </row>
    <row r="22" spans="1:12" hidden="1" x14ac:dyDescent="0.3">
      <c r="A22" s="29" t="s">
        <v>14</v>
      </c>
      <c r="B22" s="34">
        <f>E12/10</f>
        <v>10</v>
      </c>
      <c r="C22" s="36">
        <f>IF($B$22&lt;=$B$17,(C17-0)/($B$17-0)*$B$22,IF($B$22&lt;=$B$18,(C18-C17)/($B$18-$B$17)*($B$22-$B$17)+C17,IF($B$22&lt;=$B$21,(C21-C18)/($B$21-$B$18)*($B$22-$B$18)+C18)))</f>
        <v>1075</v>
      </c>
      <c r="D22" s="30">
        <f>C22/(($D$8-$D$9)*1.163)</f>
        <v>92.433361994840922</v>
      </c>
      <c r="E22" s="42">
        <f>0.000115720760310885*D22^1.96267663452922</f>
        <v>0.83502106700289624</v>
      </c>
      <c r="F22" s="30">
        <f>IF($B$22&lt;=$B$17,(F17-0)/($B$17-0)*$B$22,IF($B$22&lt;=$B$18,(F18-F17)/($B$18-$B$17)*($B$22-$B$17)+F17,IF($B$22&lt;=$B$21,(F21-F18)/($B$21-$B$18)*($B$22-$B$18)+F18)))</f>
        <v>0</v>
      </c>
      <c r="G22" s="30" t="e">
        <f>F22/(($I$9-$I$8)*1.163)</f>
        <v>#DIV/0!</v>
      </c>
      <c r="H22" s="31" t="e">
        <f>0.000115720760310885*G22^1.96267663452922</f>
        <v>#DIV/0!</v>
      </c>
      <c r="I22" s="36">
        <f>IF($B$22&lt;=$B$17,(I17-0)/($B$17-0)*$B$22,IF($B$22&lt;=$B$18,(I18-I17)/($B$18-$B$17)*($B$22-$B$17)+I17,IF($B$22&lt;=$B$21,(I21-I18)/($B$21-$B$18)*($B$22-$B$18)+I18)))</f>
        <v>34</v>
      </c>
      <c r="J22" s="33">
        <f>IF($B$22&lt;=$B$17,(J17-0)/($B$17-0)*$B$22,IF($B$22&lt;=$B$18,(J18-J17)/($B$18-$B$17)*($B$22-$B$17)+J17,IF($B$22&lt;=$B$21,(J21-J18)/($B$21-$B$18)*($B$22-$B$18)+J18)))</f>
        <v>42</v>
      </c>
      <c r="K22" s="32">
        <f>IF($B$22&lt;=$B$17,(K17-0)/($B$17-0)*$B$22,IF($B$22&lt;=$B$18,(K18-K17)/($B$18-$B$17)*($B$22-$B$17)+K17,IF($B$22&lt;=$B$21,(K21-K18)/($B$21-$B$18)*($B$22-$B$18)+K18)))</f>
        <v>3</v>
      </c>
      <c r="L22" s="33">
        <f>IF($B$22&lt;=$B$17,(L17-0)/($B$17-0)*$B$22,IF($B$22&lt;=$B$18,(L18-L17)/($B$18-$B$17)*($B$22-$B$17)+L17,IF($B$22&lt;=$B$21,(L21-L18)/($B$21-$B$18)*($B$22-$B$18)+L18)))</f>
        <v>79</v>
      </c>
    </row>
    <row r="23" spans="1:12" ht="16.95" customHeight="1" x14ac:dyDescent="0.3">
      <c r="A23" s="75" t="s">
        <v>27</v>
      </c>
      <c r="B23" s="76"/>
      <c r="C23" s="75"/>
      <c r="D23" s="77"/>
      <c r="E23" s="76"/>
      <c r="F23" s="76"/>
      <c r="G23" s="76"/>
      <c r="H23" s="76"/>
      <c r="I23" s="75"/>
      <c r="J23" s="76"/>
      <c r="K23" s="76"/>
      <c r="L23" s="77"/>
    </row>
    <row r="24" spans="1:12" x14ac:dyDescent="0.3">
      <c r="A24" s="46">
        <v>0.2</v>
      </c>
      <c r="B24" s="4">
        <v>2</v>
      </c>
      <c r="C24" s="35">
        <f>569*(($D$8+$D$9)/2-$D$10)/50</f>
        <v>569</v>
      </c>
      <c r="D24" s="5">
        <f>C24/(($D$8-$D$9)*1.163)</f>
        <v>48.925193465176264</v>
      </c>
      <c r="E24" s="43">
        <f>0.000380078529687486*D24^1.85023951851061</f>
        <v>0.50805792749010015</v>
      </c>
      <c r="F24" s="5">
        <f>108*($I$10-(($I$8+$I$9)/2))/17.5</f>
        <v>0</v>
      </c>
      <c r="G24" s="5" t="e">
        <f>F24/(($I$9-$I$8)*1.163)</f>
        <v>#DIV/0!</v>
      </c>
      <c r="H24" s="6" t="e">
        <f>0.000380078529687486*G24^1.85023951851061</f>
        <v>#DIV/0!</v>
      </c>
      <c r="I24" s="35">
        <v>15</v>
      </c>
      <c r="J24" s="64">
        <f t="shared" ref="J24:J28" si="5">I24+8</f>
        <v>23</v>
      </c>
      <c r="K24" s="69">
        <v>0.6</v>
      </c>
      <c r="L24" s="47">
        <v>42</v>
      </c>
    </row>
    <row r="25" spans="1:12" x14ac:dyDescent="0.3">
      <c r="A25" s="46">
        <v>0.4</v>
      </c>
      <c r="B25" s="4">
        <v>4</v>
      </c>
      <c r="C25" s="35">
        <f>1021*(($D$8+$D$9)/2-$D$10)/50</f>
        <v>1021</v>
      </c>
      <c r="D25" s="5">
        <f>C25/(($D$8-$D$9)*1.163)</f>
        <v>87.790197764402407</v>
      </c>
      <c r="E25" s="43">
        <f>0.000380078529687486*D25^1.85023951851061</f>
        <v>1.498697487664804</v>
      </c>
      <c r="F25" s="5">
        <f>237*($I$10-(($I$8+$I$9)/2))/17.5</f>
        <v>0</v>
      </c>
      <c r="G25" s="5" t="e">
        <f>F25/(($I$9-$I$8)*1.163)</f>
        <v>#DIV/0!</v>
      </c>
      <c r="H25" s="6" t="e">
        <f>0.000380078529687486*G25^1.85023951851061</f>
        <v>#DIV/0!</v>
      </c>
      <c r="I25" s="35">
        <v>19</v>
      </c>
      <c r="J25" s="64">
        <f t="shared" si="5"/>
        <v>27</v>
      </c>
      <c r="K25" s="69">
        <v>1.3</v>
      </c>
      <c r="L25" s="47">
        <v>75</v>
      </c>
    </row>
    <row r="26" spans="1:12" x14ac:dyDescent="0.3">
      <c r="A26" s="46">
        <v>0.6</v>
      </c>
      <c r="B26" s="4">
        <v>6</v>
      </c>
      <c r="C26" s="35">
        <f>1438*(($D$8+$D$9)/2-$D$10)/50</f>
        <v>1438</v>
      </c>
      <c r="D26" s="5">
        <f t="shared" ref="D26:D28" si="6">C26/(($D$8-$D$9)*1.163)</f>
        <v>123.6457437661221</v>
      </c>
      <c r="E26" s="43">
        <f t="shared" ref="E26:E27" si="7">0.000380078529687486*D26^1.85023951851061</f>
        <v>2.8242680950038785</v>
      </c>
      <c r="F26" s="5">
        <f>374*($I$10-(($I$8+$I$9)/2))/17.5</f>
        <v>0</v>
      </c>
      <c r="G26" s="5" t="e">
        <f t="shared" ref="G26:G28" si="8">F26/(($I$9-$I$8)*1.163)</f>
        <v>#DIV/0!</v>
      </c>
      <c r="H26" s="6" t="e">
        <f t="shared" ref="H26:H27" si="9">0.000380078529687486*G26^1.85023951851061</f>
        <v>#DIV/0!</v>
      </c>
      <c r="I26" s="35">
        <v>29</v>
      </c>
      <c r="J26" s="64">
        <f t="shared" si="5"/>
        <v>37</v>
      </c>
      <c r="K26" s="69">
        <v>2.7</v>
      </c>
      <c r="L26" s="47">
        <v>98</v>
      </c>
    </row>
    <row r="27" spans="1:12" x14ac:dyDescent="0.3">
      <c r="A27" s="46">
        <v>0.8</v>
      </c>
      <c r="B27" s="4">
        <v>8</v>
      </c>
      <c r="C27" s="35">
        <f>1834*(($D$8+$D$9)/2-$D$10)/50</f>
        <v>1834</v>
      </c>
      <c r="D27" s="5">
        <f t="shared" si="6"/>
        <v>157.6956147893379</v>
      </c>
      <c r="E27" s="43">
        <f t="shared" si="7"/>
        <v>4.4296156672014471</v>
      </c>
      <c r="F27" s="5">
        <f>518*($I$10-(($I$8+$I$9)/2))/17.5</f>
        <v>0</v>
      </c>
      <c r="G27" s="5" t="e">
        <f t="shared" si="8"/>
        <v>#DIV/0!</v>
      </c>
      <c r="H27" s="6" t="e">
        <f t="shared" si="9"/>
        <v>#DIV/0!</v>
      </c>
      <c r="I27" s="35">
        <v>32</v>
      </c>
      <c r="J27" s="64">
        <f t="shared" si="5"/>
        <v>40</v>
      </c>
      <c r="K27" s="69">
        <v>4.5999999999999996</v>
      </c>
      <c r="L27" s="47">
        <v>125</v>
      </c>
    </row>
    <row r="28" spans="1:12" x14ac:dyDescent="0.3">
      <c r="A28" s="46">
        <v>1</v>
      </c>
      <c r="B28" s="4">
        <v>10</v>
      </c>
      <c r="C28" s="35">
        <f>2214*(($D$8+$D$9)/2-$D$10)/50</f>
        <v>2214</v>
      </c>
      <c r="D28" s="5">
        <f t="shared" si="6"/>
        <v>190.36973344797934</v>
      </c>
      <c r="E28" s="43">
        <f>0.000380078529687486*D28^1.85023951851061</f>
        <v>6.275892004181018</v>
      </c>
      <c r="F28" s="5">
        <f>666*($I$10-(($I$8+$I$9)/2))/17.5</f>
        <v>0</v>
      </c>
      <c r="G28" s="5" t="e">
        <f t="shared" si="8"/>
        <v>#DIV/0!</v>
      </c>
      <c r="H28" s="6" t="e">
        <f>0.000380078529687486*G28^1.85023951851061</f>
        <v>#DIV/0!</v>
      </c>
      <c r="I28" s="35">
        <v>37</v>
      </c>
      <c r="J28" s="64">
        <f t="shared" si="5"/>
        <v>45</v>
      </c>
      <c r="K28" s="69">
        <v>7.1</v>
      </c>
      <c r="L28" s="47">
        <v>160</v>
      </c>
    </row>
    <row r="29" spans="1:12" hidden="1" x14ac:dyDescent="0.3">
      <c r="A29" s="29" t="s">
        <v>14</v>
      </c>
      <c r="B29" s="34">
        <f>B22</f>
        <v>10</v>
      </c>
      <c r="C29" s="36">
        <f>IF($B$22&lt;=$B$17,(C24-0)/($B$17-0)*$B$22,IF($B$22&lt;=$B$18,(C25-C24)/($B$18-$B$17)*($B$22-$B$17)+C24,IF($B$22&lt;=$B$21,(C28-C25)/($B$21-$B$18)*($B$22-$B$18)+C25)))</f>
        <v>2214</v>
      </c>
      <c r="D29" s="30">
        <f>C29/(($D$8-$D$9)*1.163)</f>
        <v>190.36973344797934</v>
      </c>
      <c r="E29" s="42">
        <f>0.000115720760310885*D29^1.96267663452922</f>
        <v>3.4476630660936869</v>
      </c>
      <c r="F29" s="30">
        <f>IF($B$22&lt;=$B$17,(F24-0)/($B$17-0)*$B$22,IF($B$22&lt;=$B$18,(F25-F24)/($B$18-$B$17)*($B$22-$B$17)+F24,IF($B$22&lt;=$B$21,(F28-F25)/($B$21-$B$18)*($B$22-$B$18)+F25)))</f>
        <v>0</v>
      </c>
      <c r="G29" s="30" t="e">
        <f>F29/(($I$9-$I$8)*1.163)</f>
        <v>#DIV/0!</v>
      </c>
      <c r="H29" s="31" t="e">
        <f>0.000115720760310885*G29^1.96267663452922</f>
        <v>#DIV/0!</v>
      </c>
      <c r="I29" s="36">
        <f>IF($B$22&lt;=$B$17,(I24-0)/($B$17-0)*$B$22,IF($B$22&lt;=$B$18,(I25-I24)/($B$18-$B$17)*($B$22-$B$17)+I24,IF($B$22&lt;=$B$21,(I28-I25)/($B$21-$B$18)*($B$22-$B$18)+I25)))</f>
        <v>37</v>
      </c>
      <c r="J29" s="33">
        <f>IF($B$22&lt;=$B$17,(J24-0)/($B$17-0)*$B$22,IF($B$22&lt;=$B$18,(J25-J24)/($B$18-$B$17)*($B$22-$B$17)+J24,IF($B$22&lt;=$B$21,(J28-J25)/($B$21-$B$18)*($B$22-$B$18)+J25)))</f>
        <v>45</v>
      </c>
      <c r="K29" s="32">
        <f>IF($B$22&lt;=$B$17,(K24-0)/($B$17-0)*$B$22,IF($B$22&lt;=$B$18,(K25-K24)/($B$18-$B$17)*($B$22-$B$17)+K24,IF($B$22&lt;=$B$21,(K28-K25)/($B$21-$B$18)*($B$22-$B$18)+K25)))</f>
        <v>7.1</v>
      </c>
      <c r="L29" s="33">
        <f>IF($B$22&lt;=$B$17,(L24-0)/($B$17-0)*$B$22,IF($B$22&lt;=$B$18,(L25-L24)/($B$18-$B$17)*($B$22-$B$17)+L24,IF($B$22&lt;=$B$21,(L28-L25)/($B$21-$B$18)*($B$22-$B$18)+L25)))</f>
        <v>160</v>
      </c>
    </row>
    <row r="30" spans="1:12" ht="18" customHeight="1" x14ac:dyDescent="0.3">
      <c r="A30" s="75" t="s">
        <v>17</v>
      </c>
      <c r="B30" s="76"/>
      <c r="C30" s="75"/>
      <c r="D30" s="77"/>
      <c r="E30" s="76"/>
      <c r="F30" s="76"/>
      <c r="G30" s="76"/>
      <c r="H30" s="76"/>
      <c r="I30" s="75"/>
      <c r="J30" s="76"/>
      <c r="K30" s="76"/>
      <c r="L30" s="77"/>
    </row>
    <row r="31" spans="1:12" x14ac:dyDescent="0.3">
      <c r="A31" s="46">
        <v>0.2</v>
      </c>
      <c r="B31" s="4">
        <v>2</v>
      </c>
      <c r="C31" s="35">
        <f>894*(($D$8+$D$9)/2-$D$10)/50</f>
        <v>894</v>
      </c>
      <c r="D31" s="5">
        <f>C31/(($D$8-$D$9)*1.163)</f>
        <v>76.870163370593289</v>
      </c>
      <c r="E31" s="43">
        <f>0.000694966007451909*D31^1.79406140071215</f>
        <v>1.6793021733103928</v>
      </c>
      <c r="F31" s="5">
        <f>170*($I$10-(($I$8+$I$9)/2))/17.5</f>
        <v>0</v>
      </c>
      <c r="G31" s="5" t="e">
        <f>F31/(($I$9-$I$8)*1.163)</f>
        <v>#DIV/0!</v>
      </c>
      <c r="H31" s="6" t="e">
        <f>0.000694966007451909*G31^1.79406140071215</f>
        <v>#DIV/0!</v>
      </c>
      <c r="I31" s="35">
        <v>16</v>
      </c>
      <c r="J31" s="64">
        <f t="shared" ref="J31:J35" si="10">I31+8</f>
        <v>24</v>
      </c>
      <c r="K31" s="69">
        <v>1.1000000000000001</v>
      </c>
      <c r="L31" s="47">
        <v>66</v>
      </c>
    </row>
    <row r="32" spans="1:12" x14ac:dyDescent="0.3">
      <c r="A32" s="46">
        <v>0.4</v>
      </c>
      <c r="B32" s="4">
        <v>4</v>
      </c>
      <c r="C32" s="35">
        <f>1605*(($D$8+$D$9)/2-$D$10)/50</f>
        <v>1605</v>
      </c>
      <c r="D32" s="5">
        <f>C32/(($D$8-$D$9)*1.163)</f>
        <v>138.00515907136713</v>
      </c>
      <c r="E32" s="43">
        <f t="shared" ref="E32:E35" si="11">0.000694966007451909*D32^1.79406140071215</f>
        <v>4.7980764273390584</v>
      </c>
      <c r="F32" s="5">
        <f>372*($I$10-(($I$8+$I$9)/2))/17.5</f>
        <v>0</v>
      </c>
      <c r="G32" s="5" t="e">
        <f>F32/(($I$9-$I$8)*1.163)</f>
        <v>#DIV/0!</v>
      </c>
      <c r="H32" s="6" t="e">
        <f t="shared" ref="H32:H35" si="12">0.000694966007451909*G32^1.79406140071215</f>
        <v>#DIV/0!</v>
      </c>
      <c r="I32" s="35">
        <v>20</v>
      </c>
      <c r="J32" s="64">
        <f t="shared" si="10"/>
        <v>28</v>
      </c>
      <c r="K32" s="69">
        <v>2.1</v>
      </c>
      <c r="L32" s="47">
        <v>112</v>
      </c>
    </row>
    <row r="33" spans="1:12" x14ac:dyDescent="0.3">
      <c r="A33" s="46">
        <v>0.6</v>
      </c>
      <c r="B33" s="4">
        <v>6</v>
      </c>
      <c r="C33" s="35">
        <f>2260*(($D$8+$D$9)/2-$D$10)/50</f>
        <v>2260</v>
      </c>
      <c r="D33" s="5">
        <f t="shared" ref="D33:D35" si="13">C33/(($D$8-$D$9)*1.163)</f>
        <v>194.32502149613069</v>
      </c>
      <c r="E33" s="43">
        <f t="shared" si="11"/>
        <v>8.8659364002922754</v>
      </c>
      <c r="F33" s="5">
        <f>588*($I$10-(($I$8+$I$9)/2))/17.5</f>
        <v>0</v>
      </c>
      <c r="G33" s="5" t="e">
        <f t="shared" ref="G33:G35" si="14">F33/(($I$9-$I$8)*1.163)</f>
        <v>#DIV/0!</v>
      </c>
      <c r="H33" s="6" t="e">
        <f t="shared" si="12"/>
        <v>#DIV/0!</v>
      </c>
      <c r="I33" s="35">
        <v>30</v>
      </c>
      <c r="J33" s="64">
        <f t="shared" si="10"/>
        <v>38</v>
      </c>
      <c r="K33" s="69">
        <v>4</v>
      </c>
      <c r="L33" s="47">
        <v>150</v>
      </c>
    </row>
    <row r="34" spans="1:12" x14ac:dyDescent="0.3">
      <c r="A34" s="46">
        <v>0.8</v>
      </c>
      <c r="B34" s="4">
        <v>8</v>
      </c>
      <c r="C34" s="35">
        <f>2881*(($D$8+$D$9)/2-$D$10)/50</f>
        <v>2881</v>
      </c>
      <c r="D34" s="5">
        <f t="shared" si="13"/>
        <v>247.72141014617367</v>
      </c>
      <c r="E34" s="43">
        <f t="shared" si="11"/>
        <v>13.705066616503046</v>
      </c>
      <c r="F34" s="5">
        <f>814*($I$10-(($I$8+$I$9)/2))/17.5</f>
        <v>0</v>
      </c>
      <c r="G34" s="5" t="e">
        <f t="shared" si="14"/>
        <v>#DIV/0!</v>
      </c>
      <c r="H34" s="6" t="e">
        <f t="shared" si="12"/>
        <v>#DIV/0!</v>
      </c>
      <c r="I34" s="35">
        <v>35</v>
      </c>
      <c r="J34" s="64">
        <f t="shared" si="10"/>
        <v>43</v>
      </c>
      <c r="K34" s="69">
        <v>6.6</v>
      </c>
      <c r="L34" s="47">
        <v>193</v>
      </c>
    </row>
    <row r="35" spans="1:12" x14ac:dyDescent="0.3">
      <c r="A35" s="46">
        <v>1</v>
      </c>
      <c r="B35" s="4">
        <v>10</v>
      </c>
      <c r="C35" s="35">
        <f>3479*(($D$8+$D$9)/2-$D$10)/50</f>
        <v>3479</v>
      </c>
      <c r="D35" s="5">
        <f t="shared" si="13"/>
        <v>299.14015477214099</v>
      </c>
      <c r="E35" s="43">
        <f t="shared" si="11"/>
        <v>19.223604377329103</v>
      </c>
      <c r="F35" s="5">
        <f>1047*($I$10-(($I$8+$I$9)/2))/17.5</f>
        <v>0</v>
      </c>
      <c r="G35" s="5" t="e">
        <f t="shared" si="14"/>
        <v>#DIV/0!</v>
      </c>
      <c r="H35" s="6" t="e">
        <f t="shared" si="12"/>
        <v>#DIV/0!</v>
      </c>
      <c r="I35" s="35">
        <v>39</v>
      </c>
      <c r="J35" s="64">
        <f t="shared" si="10"/>
        <v>47</v>
      </c>
      <c r="K35" s="69">
        <v>10.1</v>
      </c>
      <c r="L35" s="47">
        <v>239</v>
      </c>
    </row>
    <row r="36" spans="1:12" hidden="1" x14ac:dyDescent="0.3">
      <c r="A36" s="29" t="s">
        <v>14</v>
      </c>
      <c r="B36" s="34">
        <f>B22</f>
        <v>10</v>
      </c>
      <c r="C36" s="36">
        <f>IF($B$22&lt;=$B$17,(C31-0)/($B$17-0)*$B$22,IF($B$22&lt;=$B$18,(C34-C31)/($B$18-$B$17)*($B$22-$B$17)+C31,IF($B$22&lt;=$B$21,(C35-C34)/($B$21-$B$18)*($B$22-$B$18)+C34)))</f>
        <v>3479</v>
      </c>
      <c r="D36" s="30">
        <f>C36/(($D$8-$D$9)*1.163)</f>
        <v>299.14015477214099</v>
      </c>
      <c r="E36" s="42">
        <f>0.000115720760310885*D36^1.96267663452922</f>
        <v>8.3705256127257268</v>
      </c>
      <c r="F36" s="30">
        <f>IF($B$22&lt;=$B$17,(F31-0)/($B$17-0)*$B$22,IF($B$22&lt;=$B$18,(F34-F31)/($B$18-$B$17)*($B$22-$B$17)+F31,IF($B$22&lt;=$B$21,(F35-F34)/($B$21-$B$18)*($B$22-$B$18)+F34)))</f>
        <v>0</v>
      </c>
      <c r="G36" s="30" t="e">
        <f>F36/(($I$9-$I$8)*1.163)</f>
        <v>#DIV/0!</v>
      </c>
      <c r="H36" s="31" t="e">
        <f>0.000115720760310885*G36^1.96267663452922</f>
        <v>#DIV/0!</v>
      </c>
      <c r="I36" s="36">
        <f>IF($B$22&lt;=$B$17,(I31-0)/($B$17-0)*$B$22,IF($B$22&lt;=$B$18,(I34-I31)/($B$18-$B$17)*($B$22-$B$17)+I31,IF($B$22&lt;=$B$21,(I35-I34)/($B$21-$B$18)*($B$22-$B$18)+I34)))</f>
        <v>39</v>
      </c>
      <c r="J36" s="33">
        <f>IF($B$22&lt;=$B$17,(J31-0)/($B$17-0)*$B$22,IF($B$22&lt;=$B$18,(J34-J31)/($B$18-$B$17)*($B$22-$B$17)+J31,IF($B$22&lt;=$B$21,(J35-J34)/($B$21-$B$18)*($B$22-$B$18)+J34)))</f>
        <v>47</v>
      </c>
      <c r="K36" s="32">
        <f>IF($B$22&lt;=$B$17,(K31-0)/($B$17-0)*$B$22,IF($B$22&lt;=$B$18,(K34-K31)/($B$18-$B$17)*($B$22-$B$17)+K31,IF($B$22&lt;=$B$21,(K35-K34)/($B$21-$B$18)*($B$22-$B$18)+K34)))</f>
        <v>10.1</v>
      </c>
      <c r="L36" s="33">
        <f>IF($B$22&lt;=$B$17,(L31-0)/($B$17-0)*$B$22,IF($B$22&lt;=$B$18,(L34-L31)/($B$18-$B$17)*($B$22-$B$17)+L31,IF($B$22&lt;=$B$21,(L35-L34)/($B$21-$B$18)*($B$22-$B$18)+L34)))</f>
        <v>239</v>
      </c>
    </row>
    <row r="37" spans="1:12" ht="16.95" customHeight="1" x14ac:dyDescent="0.3">
      <c r="A37" s="75" t="s">
        <v>18</v>
      </c>
      <c r="B37" s="76"/>
      <c r="C37" s="75"/>
      <c r="D37" s="77"/>
      <c r="E37" s="76"/>
      <c r="F37" s="76"/>
      <c r="G37" s="76"/>
      <c r="H37" s="76"/>
      <c r="I37" s="75"/>
      <c r="J37" s="76"/>
      <c r="K37" s="76"/>
      <c r="L37" s="77"/>
    </row>
    <row r="38" spans="1:12" x14ac:dyDescent="0.3">
      <c r="A38" s="46">
        <v>0.2</v>
      </c>
      <c r="B38" s="4">
        <v>2</v>
      </c>
      <c r="C38" s="35">
        <f>1219*(($D$8+$D$9)/2-$D$10)/50</f>
        <v>1219</v>
      </c>
      <c r="D38" s="5">
        <f>C38/(($D$8-$D$9)*1.163)</f>
        <v>104.81513327601031</v>
      </c>
      <c r="E38" s="43">
        <f>0.000942610818998735*D38^1.78835044792727</f>
        <v>3.8686422389937332</v>
      </c>
      <c r="F38" s="5">
        <f>232*($I$10-(($I$8+$I$9)/2))/17.5</f>
        <v>0</v>
      </c>
      <c r="G38" s="5" t="e">
        <f>F38/(($I$9-$I$8)*1.163)</f>
        <v>#DIV/0!</v>
      </c>
      <c r="H38" s="6" t="e">
        <f>0.000942610818998735*G38^1.78835044792727</f>
        <v>#DIV/0!</v>
      </c>
      <c r="I38" s="35">
        <v>18</v>
      </c>
      <c r="J38" s="64">
        <f t="shared" ref="J38:J42" si="15">I38+8</f>
        <v>26</v>
      </c>
      <c r="K38" s="69">
        <v>1.2</v>
      </c>
      <c r="L38" s="47">
        <v>84</v>
      </c>
    </row>
    <row r="39" spans="1:12" x14ac:dyDescent="0.3">
      <c r="A39" s="46">
        <v>0.4</v>
      </c>
      <c r="B39" s="4">
        <v>4</v>
      </c>
      <c r="C39" s="35">
        <f>2188*(($D$8+$D$9)/2-$D$10)/50</f>
        <v>2188</v>
      </c>
      <c r="D39" s="5">
        <f>C39/(($D$8-$D$9)*1.163)</f>
        <v>188.13413585554599</v>
      </c>
      <c r="E39" s="43">
        <f t="shared" ref="E39:E42" si="16">0.000942610818998735*D39^1.78835044792727</f>
        <v>11.012288401943284</v>
      </c>
      <c r="F39" s="5">
        <f>507*($I$10-(($I$8+$I$9)/2))/17.5</f>
        <v>0</v>
      </c>
      <c r="G39" s="5" t="e">
        <f>F39/(($I$9-$I$8)*1.163)</f>
        <v>#DIV/0!</v>
      </c>
      <c r="H39" s="6" t="e">
        <f t="shared" ref="H39:H42" si="17">0.000942610818998735*G39^1.78835044792727</f>
        <v>#DIV/0!</v>
      </c>
      <c r="I39" s="35">
        <v>22</v>
      </c>
      <c r="J39" s="64">
        <f t="shared" si="15"/>
        <v>30</v>
      </c>
      <c r="K39" s="69">
        <v>2.5</v>
      </c>
      <c r="L39" s="47">
        <v>150</v>
      </c>
    </row>
    <row r="40" spans="1:12" x14ac:dyDescent="0.3">
      <c r="A40" s="46">
        <v>0.6</v>
      </c>
      <c r="B40" s="4">
        <v>6</v>
      </c>
      <c r="C40" s="35">
        <f>3082*(($D$8+$D$9)/2-$D$10)/50</f>
        <v>3082</v>
      </c>
      <c r="D40" s="5">
        <f t="shared" ref="D40:D42" si="18">C40/(($D$8-$D$9)*1.163)</f>
        <v>265.00429922613927</v>
      </c>
      <c r="E40" s="43">
        <f t="shared" si="16"/>
        <v>20.321598398497162</v>
      </c>
      <c r="F40" s="5">
        <f>802*($I$10-(($I$8+$I$9)/2))/17.5</f>
        <v>0</v>
      </c>
      <c r="G40" s="5" t="e">
        <f t="shared" ref="G40:G42" si="19">F40/(($I$9-$I$8)*1.163)</f>
        <v>#DIV/0!</v>
      </c>
      <c r="H40" s="6" t="e">
        <f t="shared" si="17"/>
        <v>#DIV/0!</v>
      </c>
      <c r="I40" s="35">
        <v>32</v>
      </c>
      <c r="J40" s="64">
        <f t="shared" si="15"/>
        <v>40</v>
      </c>
      <c r="K40" s="69">
        <v>5.4</v>
      </c>
      <c r="L40" s="47">
        <v>196</v>
      </c>
    </row>
    <row r="41" spans="1:12" x14ac:dyDescent="0.3">
      <c r="A41" s="46">
        <v>0.8</v>
      </c>
      <c r="B41" s="4">
        <v>8</v>
      </c>
      <c r="C41" s="35">
        <f>3929*(($D$8+$D$9)/2-$D$10)/50</f>
        <v>3929</v>
      </c>
      <c r="D41" s="5">
        <f t="shared" si="18"/>
        <v>337.83319002579532</v>
      </c>
      <c r="E41" s="43">
        <f t="shared" si="16"/>
        <v>31.371720436486871</v>
      </c>
      <c r="F41" s="5">
        <f>1110*($I$10-(($I$8+$I$9)/2))/17.5</f>
        <v>0</v>
      </c>
      <c r="G41" s="5" t="e">
        <f t="shared" si="19"/>
        <v>#DIV/0!</v>
      </c>
      <c r="H41" s="6" t="e">
        <f t="shared" si="17"/>
        <v>#DIV/0!</v>
      </c>
      <c r="I41" s="35">
        <v>37</v>
      </c>
      <c r="J41" s="64">
        <f t="shared" si="15"/>
        <v>45</v>
      </c>
      <c r="K41" s="69">
        <v>9.1</v>
      </c>
      <c r="L41" s="47">
        <v>250</v>
      </c>
    </row>
    <row r="42" spans="1:12" x14ac:dyDescent="0.3">
      <c r="A42" s="56">
        <v>1</v>
      </c>
      <c r="B42" s="57">
        <v>10</v>
      </c>
      <c r="C42" s="58">
        <f>4744*(($D$8+$D$9)/2-$D$10)/50</f>
        <v>4744</v>
      </c>
      <c r="D42" s="59">
        <f t="shared" si="18"/>
        <v>407.91057609630263</v>
      </c>
      <c r="E42" s="60">
        <f t="shared" si="16"/>
        <v>43.947830999384017</v>
      </c>
      <c r="F42" s="59">
        <f>1428*($I$10-(($I$8+$I$9)/2))/17.5</f>
        <v>0</v>
      </c>
      <c r="G42" s="59" t="e">
        <f t="shared" si="19"/>
        <v>#DIV/0!</v>
      </c>
      <c r="H42" s="61" t="e">
        <f t="shared" si="17"/>
        <v>#DIV/0!</v>
      </c>
      <c r="I42" s="58">
        <v>41</v>
      </c>
      <c r="J42" s="65">
        <f t="shared" si="15"/>
        <v>49</v>
      </c>
      <c r="K42" s="70">
        <v>14.1</v>
      </c>
      <c r="L42" s="62">
        <v>320</v>
      </c>
    </row>
    <row r="43" spans="1:12" hidden="1" x14ac:dyDescent="0.3">
      <c r="A43" s="48" t="s">
        <v>14</v>
      </c>
      <c r="B43" s="49">
        <f>B22</f>
        <v>10</v>
      </c>
      <c r="C43" s="50">
        <f>IF($B$22&lt;=$B$17,(C38-0)/($B$17-0)*$B$22,IF($B$22&lt;=$B$18,(C41-C38)/($B$18-$B$17)*($B$22-$B$17)+C38,IF($B$22&lt;=$B$21,(C42-C41)/($B$21-$B$18)*($B$22-$B$18)+C41)))</f>
        <v>4744</v>
      </c>
      <c r="D43" s="51">
        <f>C43/(($D$8-$D$9)*1.163)</f>
        <v>407.91057609630263</v>
      </c>
      <c r="E43" s="52">
        <f>0.000115720760310885*D43^1.96267663452922</f>
        <v>15.385306033832856</v>
      </c>
      <c r="F43" s="51">
        <f>IF($B$22&lt;=$B$17,(F38-0)/($B$17-0)*$B$22,IF($B$22&lt;=$B$18,(F41-F38)/($B$18-$B$17)*($B$22-$B$17)+F38,IF($B$22&lt;=$B$21,(F42-F41)/($B$21-$B$18)*($B$22-$B$18)+F41)))</f>
        <v>0</v>
      </c>
      <c r="G43" s="51" t="e">
        <f>F43/(($I$9-$I$8)*1.163)</f>
        <v>#DIV/0!</v>
      </c>
      <c r="H43" s="53" t="e">
        <f>0.000115720760310885*G43^1.96267663452922</f>
        <v>#DIV/0!</v>
      </c>
      <c r="I43" s="50">
        <f>IF($B$22&lt;=$B$17,(I38-0)/($B$17-0)*$B$22,IF($B$22&lt;=$B$18,(I41-I38)/($B$18-$B$17)*($B$22-$B$17)+I38,IF($B$22&lt;=$B$21,(I42-I41)/($B$21-$B$18)*($B$22-$B$18)+I41)))</f>
        <v>41</v>
      </c>
      <c r="J43" s="54">
        <f>IF($B$22&lt;=$B$17,(J38-0)/($B$17-0)*$B$22,IF($B$22&lt;=$B$18,(J41-J38)/($B$18-$B$17)*($B$22-$B$17)+J38,IF($B$22&lt;=$B$21,(J42-J41)/($B$21-$B$18)*($B$22-$B$18)+J41)))</f>
        <v>49</v>
      </c>
      <c r="K43" s="55">
        <f>IF($B$22&lt;=$B$17,(K38-0)/($B$17-0)*$B$22,IF($B$22&lt;=$B$18,(K41-K38)/($B$18-$B$17)*($B$22-$B$17)+K38,IF($B$22&lt;=$B$21,(K42-K41)/($B$21-$B$18)*($B$22-$B$18)+K41)))</f>
        <v>14.1</v>
      </c>
      <c r="L43" s="54">
        <f>IF($B$22&lt;=$B$17,(L38-0)/($B$17-0)*$B$22,IF($B$22&lt;=$B$18,(L41-L38)/($B$18-$B$17)*($B$22-$B$17)+L38,IF($B$22&lt;=$B$21,(L42-L41)/($B$21-$B$18)*($B$22-$B$18)+L41)))</f>
        <v>320</v>
      </c>
    </row>
    <row r="44" spans="1:12" ht="9.4499999999999993" customHeight="1" x14ac:dyDescent="0.3">
      <c r="A44" s="7" t="s">
        <v>21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68" t="s">
        <v>35</v>
      </c>
    </row>
    <row r="45" spans="1:12" ht="9.4499999999999993" customHeight="1" x14ac:dyDescent="0.3">
      <c r="A45" s="7" t="s">
        <v>22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9.4499999999999993" customHeight="1" x14ac:dyDescent="0.3">
      <c r="A46" s="7" t="s">
        <v>23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s="3" customFormat="1" ht="16.05" hidden="1" customHeight="1" x14ac:dyDescent="0.3"/>
    <row r="48" spans="1:12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</sheetData>
  <sheetProtection algorithmName="SHA-512" hashValue="QYPoZaW09JwW7l22fBxMaEQRf7o5W2PoCImeONs/fpeLhIcJlti0VH1w8mWex+pgUXmj7/i8lDC5G6Wi66lhrg==" saltValue="t1c4TOoWoPCaHTUFzO5Ygw==" spinCount="100000" sheet="1" objects="1" scenarios="1" selectLockedCells="1"/>
  <dataConsolidate/>
  <mergeCells count="11">
    <mergeCell ref="A37:L37"/>
    <mergeCell ref="A30:L30"/>
    <mergeCell ref="A23:L23"/>
    <mergeCell ref="A12:D12"/>
    <mergeCell ref="A16:L16"/>
    <mergeCell ref="A8:C8"/>
    <mergeCell ref="A9:C9"/>
    <mergeCell ref="A10:C10"/>
    <mergeCell ref="F8:H8"/>
    <mergeCell ref="F9:H9"/>
    <mergeCell ref="F10:H10"/>
  </mergeCells>
  <phoneticPr fontId="4" type="noConversion"/>
  <dataValidations xWindow="659" yWindow="405" count="7">
    <dataValidation type="whole" errorStyle="information" allowBlank="1" showErrorMessage="1" error="Eingabe außerhalb des gültigen Bereichs." prompt="Eingabe zwischen 5°C bis 20°C" sqref="I8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I9">
      <formula1>I8</formula1>
      <formula2>I10</formula2>
    </dataValidation>
    <dataValidation type="whole" errorStyle="information" allowBlank="1" showErrorMessage="1" error="Temperatur außerhalb des gütligen Bereichs." prompt="Eingabe zwischen 30°C bis 95°C" sqref="D8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>
      <formula1>16</formula1>
      <formula2>30</formula2>
    </dataValidation>
    <dataValidation type="whole" errorStyle="information" allowBlank="1" showErrorMessage="1" error="Eingabe außerhalb des gültigen Bereichs." prompt="20°C bis 35°C" sqref="I10">
      <formula1>20</formula1>
      <formula2>35</formula2>
    </dataValidation>
    <dataValidation type="whole" errorStyle="information" allowBlank="1" showErrorMessage="1" error="Eingabe außerhalb des gültigen Bereichs." prompt="Eingabe zwischen 0% und 100%" sqref="E12">
      <formula1>0</formula1>
      <formula2>100</formula2>
    </dataValidation>
  </dataValidations>
  <pageMargins left="0.5" right="0.47222222222222221" top="1.0555555555555556" bottom="0.81944444444444442" header="0.43055555555555558" footer="0.40277777777777779"/>
  <pageSetup paperSize="9" orientation="portrait" r:id="rId1"/>
  <headerFooter>
    <oddHeader>&amp;L&amp;G&amp;C&amp;16&amp;K00-041CLIMA CANAL  AUSLEGUNG
Heizen</oddHeader>
    <oddFooter>&amp;C&amp;8JAGA Deutschland GmbH • Neuer Zollhof 1 • 40221 Düsseldorf  • T +49 (0) 211 310 27 30 • info@jaga.de • www.jaga-deutschland.de_x000D_KBC Iban: DE58 3052 4400 0000 2837 88  • Bic: KREDDEDDXXX  • Amtsgericht Düsseldorf  • HRB32157 • UST Nr: DE174665903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zoomScaleNormal="100" workbookViewId="0">
      <selection activeCell="D10" sqref="D10"/>
    </sheetView>
  </sheetViews>
  <sheetFormatPr baseColWidth="10" defaultColWidth="0" defaultRowHeight="0" customHeight="1" zeroHeight="1" x14ac:dyDescent="0.3"/>
  <cols>
    <col min="1" max="1" width="7" style="1" customWidth="1"/>
    <col min="2" max="2" width="6.109375" style="1" customWidth="1"/>
    <col min="3" max="3" width="7" style="1" customWidth="1"/>
    <col min="4" max="4" width="6.77734375" style="1" customWidth="1"/>
    <col min="5" max="13" width="7" style="1" customWidth="1"/>
    <col min="14" max="14" width="2.109375" style="1" customWidth="1"/>
    <col min="15" max="16384" width="11.44140625" style="1" hidden="1"/>
  </cols>
  <sheetData>
    <row r="1" spans="1:16" s="3" customFormat="1" ht="14.4" x14ac:dyDescent="0.3">
      <c r="A1" s="23"/>
    </row>
    <row r="2" spans="1:16" s="3" customFormat="1" ht="14.4" x14ac:dyDescent="0.3">
      <c r="A2" s="25" t="s">
        <v>9</v>
      </c>
      <c r="B2" s="24"/>
    </row>
    <row r="3" spans="1:16" s="3" customFormat="1" ht="14.4" x14ac:dyDescent="0.3">
      <c r="A3" s="23"/>
    </row>
    <row r="4" spans="1:16" s="3" customFormat="1" ht="14.4" x14ac:dyDescent="0.3">
      <c r="A4" s="37" t="s">
        <v>11</v>
      </c>
    </row>
    <row r="5" spans="1:16" s="3" customFormat="1" ht="6" customHeight="1" x14ac:dyDescent="0.3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6" ht="14.4" x14ac:dyDescent="0.3">
      <c r="A6" s="14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5"/>
    </row>
    <row r="7" spans="1:16" ht="14.4" x14ac:dyDescent="0.3">
      <c r="A7" s="14" t="s">
        <v>6</v>
      </c>
      <c r="B7" s="8"/>
      <c r="C7" s="8"/>
      <c r="D7" s="8"/>
      <c r="E7" s="8"/>
      <c r="F7" s="9" t="s">
        <v>28</v>
      </c>
      <c r="G7" s="9"/>
      <c r="H7" s="9"/>
      <c r="I7" s="8"/>
      <c r="J7" s="8"/>
      <c r="K7" s="8"/>
      <c r="L7" s="38"/>
      <c r="M7" s="15"/>
    </row>
    <row r="8" spans="1:16" ht="14.4" x14ac:dyDescent="0.3">
      <c r="A8" s="73" t="s">
        <v>0</v>
      </c>
      <c r="B8" s="74"/>
      <c r="C8" s="74"/>
      <c r="D8" s="39">
        <v>75</v>
      </c>
      <c r="E8" s="63"/>
      <c r="F8" s="74" t="s">
        <v>0</v>
      </c>
      <c r="G8" s="74"/>
      <c r="H8" s="74"/>
      <c r="I8" s="74"/>
      <c r="J8" s="39">
        <v>7</v>
      </c>
      <c r="K8" s="8"/>
      <c r="L8" s="8"/>
      <c r="M8" s="15"/>
    </row>
    <row r="9" spans="1:16" ht="14.4" x14ac:dyDescent="0.3">
      <c r="A9" s="73" t="s">
        <v>8</v>
      </c>
      <c r="B9" s="74"/>
      <c r="C9" s="74"/>
      <c r="D9" s="39">
        <v>65</v>
      </c>
      <c r="E9" s="63"/>
      <c r="F9" s="74" t="s">
        <v>8</v>
      </c>
      <c r="G9" s="74"/>
      <c r="H9" s="74"/>
      <c r="I9" s="74"/>
      <c r="J9" s="39">
        <v>12</v>
      </c>
      <c r="K9" s="8"/>
      <c r="L9" s="8"/>
      <c r="M9" s="15"/>
    </row>
    <row r="10" spans="1:16" ht="14.4" x14ac:dyDescent="0.3">
      <c r="A10" s="73" t="s">
        <v>1</v>
      </c>
      <c r="B10" s="74"/>
      <c r="C10" s="74"/>
      <c r="D10" s="39">
        <v>20</v>
      </c>
      <c r="E10" s="63"/>
      <c r="F10" s="74" t="s">
        <v>1</v>
      </c>
      <c r="G10" s="74"/>
      <c r="H10" s="74"/>
      <c r="I10" s="74"/>
      <c r="J10" s="39">
        <v>25</v>
      </c>
      <c r="K10" s="8"/>
      <c r="L10" s="8"/>
      <c r="M10" s="15"/>
    </row>
    <row r="11" spans="1:16" ht="14.4" x14ac:dyDescent="0.3">
      <c r="A11" s="16"/>
      <c r="B11" s="8"/>
      <c r="C11" s="8"/>
      <c r="D11" s="8"/>
      <c r="E11" s="8"/>
      <c r="F11" s="8" t="s">
        <v>33</v>
      </c>
      <c r="G11" s="8"/>
      <c r="H11" s="8"/>
      <c r="I11" s="8"/>
      <c r="J11" s="66">
        <v>0.5</v>
      </c>
      <c r="K11" s="8"/>
      <c r="L11" s="8"/>
      <c r="M11" s="15"/>
    </row>
    <row r="12" spans="1:16" ht="13.95" hidden="1" customHeight="1" x14ac:dyDescent="0.3">
      <c r="A12" s="78" t="s">
        <v>12</v>
      </c>
      <c r="B12" s="79"/>
      <c r="C12" s="79"/>
      <c r="D12" s="79"/>
      <c r="E12" s="40">
        <v>100</v>
      </c>
      <c r="F12" s="8" t="s">
        <v>13</v>
      </c>
      <c r="G12" s="8"/>
      <c r="H12" s="8"/>
      <c r="I12" s="8" t="s">
        <v>20</v>
      </c>
      <c r="J12" s="8" t="s">
        <v>19</v>
      </c>
      <c r="K12" s="8"/>
      <c r="L12" s="8"/>
      <c r="M12" s="15"/>
    </row>
    <row r="13" spans="1:16" ht="6" customHeight="1" x14ac:dyDescent="0.3">
      <c r="A13" s="17"/>
      <c r="B13" s="18"/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20"/>
    </row>
    <row r="14" spans="1:16" ht="14.4" x14ac:dyDescent="0.3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6" s="2" customFormat="1" ht="95.4" customHeight="1" x14ac:dyDescent="0.3">
      <c r="A15" s="28" t="s">
        <v>2</v>
      </c>
      <c r="B15" s="21" t="s">
        <v>3</v>
      </c>
      <c r="C15" s="28" t="str">
        <f>CONCATENATE("Wärmeleistung* ",D8,"/",D9,"/",D10," [W]")</f>
        <v>Wärmeleistung* 75/65/20 [W]</v>
      </c>
      <c r="D15" s="41" t="s">
        <v>5</v>
      </c>
      <c r="E15" s="45" t="s">
        <v>16</v>
      </c>
      <c r="F15" s="21" t="str">
        <f>CONCATENATE("Sens. Kälteleistung* ",J8,"/",J9,"/",J10," [W]")</f>
        <v>Sens. Kälteleistung* 7/12/25 [W]</v>
      </c>
      <c r="G15" s="21" t="str">
        <f>CONCATENATE("Tot. Kälteleistung ",J8,"/",J9,"/",J10," [W]")</f>
        <v>Tot. Kälteleistung 7/12/25 [W]</v>
      </c>
      <c r="H15" s="21" t="s">
        <v>7</v>
      </c>
      <c r="I15" s="22" t="s">
        <v>16</v>
      </c>
      <c r="J15" s="28" t="s">
        <v>25</v>
      </c>
      <c r="K15" s="44" t="s">
        <v>24</v>
      </c>
      <c r="L15" s="21" t="s">
        <v>15</v>
      </c>
      <c r="M15" s="27" t="s">
        <v>4</v>
      </c>
    </row>
    <row r="16" spans="1:16" ht="18" customHeight="1" x14ac:dyDescent="0.3">
      <c r="A16" s="75" t="s">
        <v>29</v>
      </c>
      <c r="B16" s="76"/>
      <c r="C16" s="75"/>
      <c r="D16" s="77"/>
      <c r="E16" s="76"/>
      <c r="F16" s="76"/>
      <c r="G16" s="76"/>
      <c r="H16" s="76"/>
      <c r="I16" s="76"/>
      <c r="J16" s="75"/>
      <c r="K16" s="76"/>
      <c r="L16" s="76"/>
      <c r="M16" s="77"/>
      <c r="P16" s="67" t="s">
        <v>34</v>
      </c>
    </row>
    <row r="17" spans="1:16" ht="14.4" x14ac:dyDescent="0.3">
      <c r="A17" s="46">
        <v>0.2</v>
      </c>
      <c r="B17" s="4">
        <v>2</v>
      </c>
      <c r="C17" s="35">
        <f>276*(($D$8+$D$9)/2-$D$10)/50</f>
        <v>276</v>
      </c>
      <c r="D17" s="5">
        <f>C17/(($D$8-$D$9)*1.163)</f>
        <v>23.731728288907995</v>
      </c>
      <c r="E17" s="43">
        <f>0.000115720760310885*D17^1.96267663452922</f>
        <v>5.7907936893927758E-2</v>
      </c>
      <c r="F17" s="5">
        <f>30*(($J$10-(($J$8+$J$9)/2))/10)^P17</f>
        <v>39.02296582881749</v>
      </c>
      <c r="G17" s="5">
        <f>$F17/(IF((237.3*LN(($J$11*EXP(17.27*($J$10/($J$10+237.3))))))/(17.27-LN(($J$11*EXP(17.27*($J$10/($J$10+237.3))))))&lt;($J$8+$J$9)/2,1,1/(1+((2258*((0.622/((101325/(1*611*EXP(17.27*(($J$8+$J$9)/2/(($J$8+$J$9)/2+237.3))))))-1)*1000-(0.622/((101325/($J$11*611*EXP(17.27*($J$10/($J$10+237.3))))))-1)*1000))/(1005*(($J$8+$J$9)/2-$J$10))))-((-0.000625*$B17+0.00625)*($J$10-($J$8+$J$9)/2)-(-0.000625*$B17+0.00625)*10)))</f>
        <v>54.834230254670913</v>
      </c>
      <c r="H17" s="5">
        <f>G17/(($J$9-$J$8)*1.163)</f>
        <v>9.4297902415599157</v>
      </c>
      <c r="I17" s="6">
        <f>0.000115720760310885*H17^1.96267663452922</f>
        <v>9.4633226492321729E-3</v>
      </c>
      <c r="J17" s="35">
        <v>14</v>
      </c>
      <c r="K17" s="64">
        <f t="shared" ref="K17:K21" si="0">J17+8</f>
        <v>22</v>
      </c>
      <c r="L17" s="69">
        <v>0.5</v>
      </c>
      <c r="M17" s="47">
        <v>24</v>
      </c>
      <c r="P17" s="67">
        <v>0.6</v>
      </c>
    </row>
    <row r="18" spans="1:16" ht="14.4" x14ac:dyDescent="0.3">
      <c r="A18" s="46">
        <v>0.4</v>
      </c>
      <c r="B18" s="4">
        <v>4</v>
      </c>
      <c r="C18" s="35">
        <f>496*(($D$8+$D$9)/2-$D$10)/50</f>
        <v>496</v>
      </c>
      <c r="D18" s="5">
        <f>C18/(($D$8-$D$9)*1.163)</f>
        <v>42.648323301805675</v>
      </c>
      <c r="E18" s="43">
        <f>0.000115720760310885*D18^1.96267663452922</f>
        <v>0.18297079510410438</v>
      </c>
      <c r="F18" s="5">
        <f>66*(($J$10-(($J$8+$J$9)/2))/10)^P18</f>
        <v>88.91386526191728</v>
      </c>
      <c r="G18" s="5">
        <f t="shared" ref="G18:G21" si="1">$F18/(IF((237.3*LN(($J$11*EXP(17.27*($J$10/($J$10+237.3))))))/(17.27-LN(($J$11*EXP(17.27*($J$10/($J$10+237.3))))))&lt;($J$8+$J$9)/2,1,1/(1+((2258*((0.622/((101325/(1*611*EXP(17.27*(($J$8+$J$9)/2/(($J$8+$J$9)/2+237.3))))))-1)*1000-(0.622/((101325/($J$11*611*EXP(17.27*($J$10/($J$10+237.3))))))-1)*1000))/(1005*(($J$8+$J$9)/2-$J$10))))-((-0.000625*$B18+0.00625)*($J$10-($J$8+$J$9)/2)-(-0.000625*$B18+0.00625)*10)))</f>
        <v>123.74440111818015</v>
      </c>
      <c r="H18" s="5">
        <f t="shared" ref="H18:H21" si="2">G18/(($J$9-$J$8)*1.163)</f>
        <v>21.280206555147057</v>
      </c>
      <c r="I18" s="6">
        <f>0.000115720760310885*H18^1.96267663452922</f>
        <v>4.6751809971503321E-2</v>
      </c>
      <c r="J18" s="35">
        <v>15</v>
      </c>
      <c r="K18" s="64">
        <f t="shared" si="0"/>
        <v>23</v>
      </c>
      <c r="L18" s="69">
        <v>0.8</v>
      </c>
      <c r="M18" s="47">
        <v>37</v>
      </c>
      <c r="P18" s="67">
        <v>0.68</v>
      </c>
    </row>
    <row r="19" spans="1:16" ht="14.4" x14ac:dyDescent="0.3">
      <c r="A19" s="46">
        <v>0.6</v>
      </c>
      <c r="B19" s="4">
        <v>6</v>
      </c>
      <c r="C19" s="35">
        <f>699*(($D$8+$D$9)/2-$D$10)/50</f>
        <v>699</v>
      </c>
      <c r="D19" s="5">
        <f t="shared" ref="D19:D21" si="3">C19/(($D$8-$D$9)*1.163)</f>
        <v>60.103181427343074</v>
      </c>
      <c r="E19" s="43">
        <f t="shared" ref="E19:E21" si="4">0.000115720760310885*D19^1.96267663452922</f>
        <v>0.3587663980234182</v>
      </c>
      <c r="F19" s="5">
        <f>104*(($J$10-(($J$8+$J$9)/2))/10)^P19</f>
        <v>147.02641942015941</v>
      </c>
      <c r="G19" s="5">
        <f t="shared" si="1"/>
        <v>202.68228894537654</v>
      </c>
      <c r="H19" s="5">
        <f t="shared" si="2"/>
        <v>34.8550797842436</v>
      </c>
      <c r="I19" s="6">
        <f t="shared" ref="I19:I21" si="5">0.000115720760310885*H19^1.96267663452922</f>
        <v>0.12313482008531967</v>
      </c>
      <c r="J19" s="35">
        <v>23</v>
      </c>
      <c r="K19" s="64">
        <f t="shared" si="0"/>
        <v>31</v>
      </c>
      <c r="L19" s="69">
        <v>1.3</v>
      </c>
      <c r="M19" s="47">
        <v>52</v>
      </c>
      <c r="P19" s="67">
        <v>0.79</v>
      </c>
    </row>
    <row r="20" spans="1:16" ht="14.4" x14ac:dyDescent="0.3">
      <c r="A20" s="46">
        <v>0.8</v>
      </c>
      <c r="B20" s="4">
        <v>8</v>
      </c>
      <c r="C20" s="35">
        <f>891*(($D$8+$D$9)/2-$D$10)/50</f>
        <v>891</v>
      </c>
      <c r="D20" s="5">
        <f t="shared" si="3"/>
        <v>76.612209802235597</v>
      </c>
      <c r="E20" s="43">
        <f t="shared" si="4"/>
        <v>0.57766880352908079</v>
      </c>
      <c r="F20" s="5">
        <f>144*(($J$10-(($J$8+$J$9)/2))/10)^P20</f>
        <v>210.8390591284095</v>
      </c>
      <c r="G20" s="5">
        <f t="shared" si="1"/>
        <v>287.92200085709612</v>
      </c>
      <c r="H20" s="5">
        <f t="shared" si="2"/>
        <v>49.513671686516957</v>
      </c>
      <c r="I20" s="6">
        <f t="shared" si="5"/>
        <v>0.24524982048763513</v>
      </c>
      <c r="J20" s="35">
        <v>28</v>
      </c>
      <c r="K20" s="64">
        <f t="shared" si="0"/>
        <v>36</v>
      </c>
      <c r="L20" s="69">
        <v>2.1</v>
      </c>
      <c r="M20" s="47">
        <v>68</v>
      </c>
      <c r="P20" s="67">
        <v>0.87</v>
      </c>
    </row>
    <row r="21" spans="1:16" ht="14.4" x14ac:dyDescent="0.3">
      <c r="A21" s="46">
        <v>1</v>
      </c>
      <c r="B21" s="4">
        <v>10</v>
      </c>
      <c r="C21" s="35">
        <f>1075*(($D$8+$D$9)/2-$D$10)/50</f>
        <v>1075</v>
      </c>
      <c r="D21" s="5">
        <f t="shared" si="3"/>
        <v>92.433361994840922</v>
      </c>
      <c r="E21" s="43">
        <f t="shared" si="4"/>
        <v>0.83502106700289624</v>
      </c>
      <c r="F21" s="5">
        <f>185*(($J$10-(($J$8+$J$9)/2))/10)^P21</f>
        <v>275.65988696822683</v>
      </c>
      <c r="G21" s="5">
        <f t="shared" si="1"/>
        <v>372.94002954376873</v>
      </c>
      <c r="H21" s="5">
        <f t="shared" si="2"/>
        <v>64.13414093615971</v>
      </c>
      <c r="I21" s="6">
        <f t="shared" si="5"/>
        <v>0.40751461459080857</v>
      </c>
      <c r="J21" s="35">
        <v>34</v>
      </c>
      <c r="K21" s="64">
        <f t="shared" si="0"/>
        <v>42</v>
      </c>
      <c r="L21" s="69">
        <v>3</v>
      </c>
      <c r="M21" s="47">
        <v>79</v>
      </c>
      <c r="P21" s="67">
        <v>0.91</v>
      </c>
    </row>
    <row r="22" spans="1:16" ht="14.4" hidden="1" x14ac:dyDescent="0.3">
      <c r="A22" s="29" t="s">
        <v>14</v>
      </c>
      <c r="B22" s="34">
        <f>E12/10</f>
        <v>10</v>
      </c>
      <c r="C22" s="36">
        <f>IF($B$22&lt;=$B$17,(C17-0)/($B$17-0)*$B$22,IF($B$22&lt;=$B$18,(C18-C17)/($B$18-$B$17)*($B$22-$B$17)+C17,IF($B$22&lt;=$B$21,(C21-C18)/($B$21-$B$18)*($B$22-$B$18)+C18)))</f>
        <v>1075</v>
      </c>
      <c r="D22" s="30">
        <f>C22/(($D$8-$D$9)*1.163)</f>
        <v>92.433361994840922</v>
      </c>
      <c r="E22" s="42">
        <f>0.000115720760310885*D22^1.96267663452922</f>
        <v>0.83502106700289624</v>
      </c>
      <c r="F22" s="30">
        <f>IF($B$22&lt;=$B$17,(F17-0)/($B$17-0)*$B$22,IF($B$22&lt;=$B$18,(F18-F17)/($B$18-$B$17)*($B$22-$B$17)+F17,IF($B$22&lt;=$B$21,(F21-F18)/($B$21-$B$18)*($B$22-$B$18)+F18)))</f>
        <v>275.65988696822683</v>
      </c>
      <c r="G22" s="5">
        <f t="shared" ref="G22" si="6">$F22/(IF((237.3*LN(($J$11*EXP(17.27*($J$10/($J$10+237.3))))))/(17.27-LN(($J$11*EXP(17.27*($J$10/($J$10+237.3))))))&lt;($J$8+$J$9)/2,1,1/(1+((2258*((0.622/((101325/(1*611*EXP(17.27*(($J$8+$J$9)/2/(($J$8+$J$9)/2+237.3))))))-1)*1000-(0.622/((101325/($J$11*611*EXP(17.27*($J$10/($J$10+237.3))))))-1)*1000))/(1005*(($J$8+$J$9)/2-$J$10))))-((-0.000625*$B22+0.00625)*($J$10-($J$8+$J$9)/2)-(-0.000625*$B22+0.00625)*10)))</f>
        <v>372.94002954376873</v>
      </c>
      <c r="H22" s="30">
        <f>F22/(($J$9-$J$8)*1.163)</f>
        <v>47.404967664355425</v>
      </c>
      <c r="I22" s="31">
        <f>0.000115720760310885*H22^1.96267663452922</f>
        <v>0.22517055670047748</v>
      </c>
      <c r="J22" s="36">
        <f>IF($B$22&lt;=$B$17,(J17-0)/($B$17-0)*$B$22,IF($B$22&lt;=$B$18,(J18-J17)/($B$18-$B$17)*($B$22-$B$17)+J17,IF($B$22&lt;=$B$21,(J21-J18)/($B$21-$B$18)*($B$22-$B$18)+J18)))</f>
        <v>34</v>
      </c>
      <c r="K22" s="33">
        <f>IF($B$22&lt;=$B$17,(K17-0)/($B$17-0)*$B$22,IF($B$22&lt;=$B$18,(K18-K17)/($B$18-$B$17)*($B$22-$B$17)+K17,IF($B$22&lt;=$B$21,(K21-K18)/($B$21-$B$18)*($B$22-$B$18)+K18)))</f>
        <v>42</v>
      </c>
      <c r="L22" s="32">
        <f>IF($B$22&lt;=$B$17,(L17-0)/($B$17-0)*$B$22,IF($B$22&lt;=$B$18,(L18-L17)/($B$18-$B$17)*($B$22-$B$17)+L17,IF($B$22&lt;=$B$21,(L21-L18)/($B$21-$B$18)*($B$22-$B$18)+L18)))</f>
        <v>3</v>
      </c>
      <c r="M22" s="33">
        <f>IF($B$22&lt;=$B$17,(M17-0)/($B$17-0)*$B$22,IF($B$22&lt;=$B$18,(M18-M17)/($B$18-$B$17)*($B$22-$B$17)+M17,IF($B$22&lt;=$B$21,(M21-M18)/($B$21-$B$18)*($B$22-$B$18)+M18)))</f>
        <v>79</v>
      </c>
      <c r="P22" s="67"/>
    </row>
    <row r="23" spans="1:16" ht="16.95" customHeight="1" x14ac:dyDescent="0.3">
      <c r="A23" s="75" t="s">
        <v>30</v>
      </c>
      <c r="B23" s="76"/>
      <c r="C23" s="75"/>
      <c r="D23" s="77"/>
      <c r="E23" s="76"/>
      <c r="F23" s="76"/>
      <c r="G23" s="76"/>
      <c r="H23" s="76"/>
      <c r="I23" s="76"/>
      <c r="J23" s="75"/>
      <c r="K23" s="76"/>
      <c r="L23" s="76"/>
      <c r="M23" s="77"/>
      <c r="P23" s="67" t="s">
        <v>34</v>
      </c>
    </row>
    <row r="24" spans="1:16" ht="14.4" x14ac:dyDescent="0.3">
      <c r="A24" s="46">
        <v>0.2</v>
      </c>
      <c r="B24" s="4">
        <v>2</v>
      </c>
      <c r="C24" s="35">
        <f>569*(($D$8+$D$9)/2-$D$10)/50</f>
        <v>569</v>
      </c>
      <c r="D24" s="5">
        <f>C24/(($D$8-$D$9)*1.163)</f>
        <v>48.925193465176264</v>
      </c>
      <c r="E24" s="43">
        <f>0.000380078529687486*D24^1.85023951851061</f>
        <v>0.50805792749010015</v>
      </c>
      <c r="F24" s="5">
        <f>62*(($J$10-(($J$8+$J$9)/2))/10)^P24</f>
        <v>80.647462712889478</v>
      </c>
      <c r="G24" s="5">
        <f>$F24/(IF((237.3*LN(($J$11*EXP(17.27*($J$10/($J$10+237.3))))))/(17.27-LN(($J$11*EXP(17.27*($J$10/($J$10+237.3))))))&lt;($J$8+$J$9)/2,1,1/(1+((2258*((0.622/((101325/(1*611*EXP(17.27*(($J$8+$J$9)/2/(($J$8+$J$9)/2+237.3))))))-1)*1000-(0.622/((101325/($J$11*611*EXP(17.27*($J$10/($J$10+237.3))))))-1)*1000))/(1005*(($J$8+$J$9)/2-$J$10))))-((-0.000625*$B24+0.00625)*($J$10-($J$8+$J$9)/2)-(-0.000625*$B24+0.00625)*10)))</f>
        <v>113.32407585965322</v>
      </c>
      <c r="H24" s="5">
        <f>G24/(($J$9-$J$8)*1.163)</f>
        <v>19.488233165890492</v>
      </c>
      <c r="I24" s="6">
        <f>0.000380078529687486*H24^1.85023951851061</f>
        <v>9.2525475537345678E-2</v>
      </c>
      <c r="J24" s="35">
        <v>15</v>
      </c>
      <c r="K24" s="64">
        <f t="shared" ref="K24:K28" si="7">J24+8</f>
        <v>23</v>
      </c>
      <c r="L24" s="69">
        <v>0.6</v>
      </c>
      <c r="M24" s="47">
        <v>42</v>
      </c>
      <c r="P24" s="67">
        <v>0.6</v>
      </c>
    </row>
    <row r="25" spans="1:16" ht="14.4" x14ac:dyDescent="0.3">
      <c r="A25" s="46">
        <v>0.4</v>
      </c>
      <c r="B25" s="4">
        <v>4</v>
      </c>
      <c r="C25" s="35">
        <f>1021*(($D$8+$D$9)/2-$D$10)/50</f>
        <v>1021</v>
      </c>
      <c r="D25" s="5">
        <f>C25/(($D$8-$D$9)*1.163)</f>
        <v>87.790197764402407</v>
      </c>
      <c r="E25" s="43">
        <f>0.000380078529687486*D25^1.85023951851061</f>
        <v>1.498697487664804</v>
      </c>
      <c r="F25" s="5">
        <f>135*(($J$10-(($J$8+$J$9)/2))/10)^P25</f>
        <v>181.86926985392171</v>
      </c>
      <c r="G25" s="5">
        <f t="shared" ref="G25:G28" si="8">$F25/(IF((237.3*LN(($J$11*EXP(17.27*($J$10/($J$10+237.3))))))/(17.27-LN(($J$11*EXP(17.27*($J$10/($J$10+237.3))))))&lt;($J$8+$J$9)/2,1,1/(1+((2258*((0.622/((101325/(1*611*EXP(17.27*(($J$8+$J$9)/2/(($J$8+$J$9)/2+237.3))))))-1)*1000-(0.622/((101325/($J$11*611*EXP(17.27*($J$10/($J$10+237.3))))))-1)*1000))/(1005*(($J$8+$J$9)/2-$J$10))))-((-0.000625*$B25+0.00625)*($J$10-($J$8+$J$9)/2)-(-0.000625*$B25+0.00625)*10)))</f>
        <v>253.11354774173211</v>
      </c>
      <c r="H25" s="5">
        <f t="shared" ref="H25:H28" si="9">G25/(($J$9-$J$8)*1.163)</f>
        <v>43.52769522643716</v>
      </c>
      <c r="I25" s="6">
        <f>0.000380078529687486*H25^1.85023951851061</f>
        <v>0.40924402310435637</v>
      </c>
      <c r="J25" s="35">
        <v>19</v>
      </c>
      <c r="K25" s="64">
        <f t="shared" si="7"/>
        <v>27</v>
      </c>
      <c r="L25" s="69">
        <v>1.3</v>
      </c>
      <c r="M25" s="47">
        <v>75</v>
      </c>
      <c r="P25" s="67">
        <v>0.68</v>
      </c>
    </row>
    <row r="26" spans="1:16" ht="14.4" x14ac:dyDescent="0.3">
      <c r="A26" s="46">
        <v>0.6</v>
      </c>
      <c r="B26" s="4">
        <v>6</v>
      </c>
      <c r="C26" s="35">
        <f>1438*(($D$8+$D$9)/2-$D$10)/50</f>
        <v>1438</v>
      </c>
      <c r="D26" s="5">
        <f t="shared" ref="D26:D28" si="10">C26/(($D$8-$D$9)*1.163)</f>
        <v>123.6457437661221</v>
      </c>
      <c r="E26" s="43">
        <f t="shared" ref="E26:E27" si="11">0.000380078529687486*D26^1.85023951851061</f>
        <v>2.8242680950038785</v>
      </c>
      <c r="F26" s="5">
        <f>214*(($J$10-(($J$8+$J$9)/2))/10)^P26</f>
        <v>302.53513226840499</v>
      </c>
      <c r="G26" s="5">
        <f t="shared" si="8"/>
        <v>417.05778686837101</v>
      </c>
      <c r="H26" s="5">
        <f t="shared" si="9"/>
        <v>71.721029556039724</v>
      </c>
      <c r="I26" s="6">
        <f t="shared" ref="I26:I27" si="12">0.000380078529687486*H26^1.85023951851061</f>
        <v>1.0310123137444698</v>
      </c>
      <c r="J26" s="35">
        <v>29</v>
      </c>
      <c r="K26" s="64">
        <f t="shared" si="7"/>
        <v>37</v>
      </c>
      <c r="L26" s="69">
        <v>2.7</v>
      </c>
      <c r="M26" s="47">
        <v>98</v>
      </c>
      <c r="P26" s="67">
        <v>0.79</v>
      </c>
    </row>
    <row r="27" spans="1:16" ht="14.4" x14ac:dyDescent="0.3">
      <c r="A27" s="46">
        <v>0.8</v>
      </c>
      <c r="B27" s="4">
        <v>8</v>
      </c>
      <c r="C27" s="35">
        <f>1834*(($D$8+$D$9)/2-$D$10)/50</f>
        <v>1834</v>
      </c>
      <c r="D27" s="5">
        <f t="shared" si="10"/>
        <v>157.6956147893379</v>
      </c>
      <c r="E27" s="43">
        <f t="shared" si="11"/>
        <v>4.4296156672014471</v>
      </c>
      <c r="F27" s="5">
        <f>296*(($J$10-(($J$8+$J$9)/2))/10)^P27</f>
        <v>433.39139931950842</v>
      </c>
      <c r="G27" s="5">
        <f t="shared" si="8"/>
        <v>591.83966842847531</v>
      </c>
      <c r="H27" s="5">
        <f t="shared" si="9"/>
        <v>101.77810291117373</v>
      </c>
      <c r="I27" s="6">
        <f t="shared" si="12"/>
        <v>1.9702201581569625</v>
      </c>
      <c r="J27" s="35">
        <v>32</v>
      </c>
      <c r="K27" s="64">
        <f t="shared" si="7"/>
        <v>40</v>
      </c>
      <c r="L27" s="69">
        <v>4.5999999999999996</v>
      </c>
      <c r="M27" s="47">
        <v>125</v>
      </c>
      <c r="P27" s="67">
        <v>0.87</v>
      </c>
    </row>
    <row r="28" spans="1:16" ht="14.4" x14ac:dyDescent="0.3">
      <c r="A28" s="46">
        <v>1</v>
      </c>
      <c r="B28" s="4">
        <v>10</v>
      </c>
      <c r="C28" s="35">
        <f>2214*(($D$8+$D$9)/2-$D$10)/50</f>
        <v>2214</v>
      </c>
      <c r="D28" s="5">
        <f t="shared" si="10"/>
        <v>190.36973344797934</v>
      </c>
      <c r="E28" s="43">
        <f>0.000380078529687486*D28^1.85023951851061</f>
        <v>6.275892004181018</v>
      </c>
      <c r="F28" s="5">
        <f>381*(($J$10-(($J$8+$J$9)/2))/10)^P28</f>
        <v>567.7103618102401</v>
      </c>
      <c r="G28" s="5">
        <f t="shared" si="8"/>
        <v>768.05487165500472</v>
      </c>
      <c r="H28" s="5">
        <f t="shared" si="9"/>
        <v>132.08166322528027</v>
      </c>
      <c r="I28" s="6">
        <f>0.000380078529687486*H28^1.85023951851061</f>
        <v>3.1910969380897187</v>
      </c>
      <c r="J28" s="35">
        <v>37</v>
      </c>
      <c r="K28" s="64">
        <f t="shared" si="7"/>
        <v>45</v>
      </c>
      <c r="L28" s="69">
        <v>7.1</v>
      </c>
      <c r="M28" s="47">
        <v>160</v>
      </c>
      <c r="P28" s="67">
        <v>0.91</v>
      </c>
    </row>
    <row r="29" spans="1:16" ht="14.4" hidden="1" x14ac:dyDescent="0.3">
      <c r="A29" s="29" t="s">
        <v>14</v>
      </c>
      <c r="B29" s="34">
        <f>B22</f>
        <v>10</v>
      </c>
      <c r="C29" s="36">
        <f>IF($B$22&lt;=$B$17,(C24-0)/($B$17-0)*$B$22,IF($B$22&lt;=$B$18,(C25-C24)/($B$18-$B$17)*($B$22-$B$17)+C24,IF($B$22&lt;=$B$21,(C28-C25)/($B$21-$B$18)*($B$22-$B$18)+C25)))</f>
        <v>2214</v>
      </c>
      <c r="D29" s="30">
        <f>C29/(($D$8-$D$9)*1.163)</f>
        <v>190.36973344797934</v>
      </c>
      <c r="E29" s="42">
        <f>0.000115720760310885*D29^1.96267663452922</f>
        <v>3.4476630660936869</v>
      </c>
      <c r="F29" s="30">
        <f>IF($B$22&lt;=$B$17,(F24-0)/($B$17-0)*$B$22,IF($B$22&lt;=$B$18,(F25-F24)/($B$18-$B$17)*($B$22-$B$17)+F24,IF($B$22&lt;=$B$21,(F28-F25)/($B$21-$B$18)*($B$22-$B$18)+F25)))</f>
        <v>567.7103618102401</v>
      </c>
      <c r="G29" s="30"/>
      <c r="H29" s="30">
        <f>F29/(($J$9-$J$8)*1.163)</f>
        <v>97.62860908172658</v>
      </c>
      <c r="I29" s="31">
        <f>0.000115720760310885*H29^1.96267663452922</f>
        <v>0.9296249453823745</v>
      </c>
      <c r="J29" s="36">
        <f>IF($B$22&lt;=$B$17,(J24-0)/($B$17-0)*$B$22,IF($B$22&lt;=$B$18,(J25-J24)/($B$18-$B$17)*($B$22-$B$17)+J24,IF($B$22&lt;=$B$21,(J28-J25)/($B$21-$B$18)*($B$22-$B$18)+J25)))</f>
        <v>37</v>
      </c>
      <c r="K29" s="33">
        <f>IF($B$22&lt;=$B$17,(K24-0)/($B$17-0)*$B$22,IF($B$22&lt;=$B$18,(K25-K24)/($B$18-$B$17)*($B$22-$B$17)+K24,IF($B$22&lt;=$B$21,(K28-K25)/($B$21-$B$18)*($B$22-$B$18)+K25)))</f>
        <v>45</v>
      </c>
      <c r="L29" s="32">
        <f>IF($B$22&lt;=$B$17,(L24-0)/($B$17-0)*$B$22,IF($B$22&lt;=$B$18,(L25-L24)/($B$18-$B$17)*($B$22-$B$17)+L24,IF($B$22&lt;=$B$21,(L28-L25)/($B$21-$B$18)*($B$22-$B$18)+L25)))</f>
        <v>7.1</v>
      </c>
      <c r="M29" s="33">
        <f>IF($B$22&lt;=$B$17,(M24-0)/($B$17-0)*$B$22,IF($B$22&lt;=$B$18,(M25-M24)/($B$18-$B$17)*($B$22-$B$17)+M24,IF($B$22&lt;=$B$21,(M28-M25)/($B$21-$B$18)*($B$22-$B$18)+M25)))</f>
        <v>160</v>
      </c>
      <c r="P29" s="67"/>
    </row>
    <row r="30" spans="1:16" ht="18" customHeight="1" x14ac:dyDescent="0.3">
      <c r="A30" s="75" t="s">
        <v>31</v>
      </c>
      <c r="B30" s="76"/>
      <c r="C30" s="75"/>
      <c r="D30" s="77"/>
      <c r="E30" s="76"/>
      <c r="F30" s="76"/>
      <c r="G30" s="76"/>
      <c r="H30" s="76"/>
      <c r="I30" s="76"/>
      <c r="J30" s="75"/>
      <c r="K30" s="76"/>
      <c r="L30" s="76"/>
      <c r="M30" s="77"/>
      <c r="P30" s="67" t="s">
        <v>34</v>
      </c>
    </row>
    <row r="31" spans="1:16" ht="14.4" x14ac:dyDescent="0.3">
      <c r="A31" s="46">
        <v>0.2</v>
      </c>
      <c r="B31" s="4">
        <v>2</v>
      </c>
      <c r="C31" s="35">
        <f>894*(($D$8+$D$9)/2-$D$10)/50</f>
        <v>894</v>
      </c>
      <c r="D31" s="5">
        <f>C31/(($D$8-$D$9)*1.163)</f>
        <v>76.870163370593289</v>
      </c>
      <c r="E31" s="43">
        <f>0.000694966007451909*D31^1.79406140071215</f>
        <v>1.6793021733103928</v>
      </c>
      <c r="F31" s="5">
        <f>97*(($J$10-(($J$8+$J$9)/2))/10)^P31</f>
        <v>126.17425617984321</v>
      </c>
      <c r="G31" s="5">
        <f>$F31/(IF((237.3*LN(($J$11*EXP(17.27*($J$10/($J$10+237.3))))))/(17.27-LN(($J$11*EXP(17.27*($J$10/($J$10+237.3))))))&lt;($J$8+$J$9)/2,1,1/(1+((2258*((0.622/((101325/(1*611*EXP(17.27*(($J$8+$J$9)/2/(($J$8+$J$9)/2+237.3))))))-1)*1000-(0.622/((101325/($J$11*611*EXP(17.27*($J$10/($J$10+237.3))))))-1)*1000))/(1005*(($J$8+$J$9)/2-$J$10))))-((-0.000625*$B31+0.00625)*($J$10-($J$8+$J$9)/2)-(-0.000625*$B31+0.00625)*10)))</f>
        <v>177.2973444901026</v>
      </c>
      <c r="H31" s="5">
        <f>G31/(($J$9-$J$8)*1.163)</f>
        <v>30.489655114377058</v>
      </c>
      <c r="I31" s="6">
        <f>0.000694966007451909*H31^1.79406140071215</f>
        <v>0.31961289796858161</v>
      </c>
      <c r="J31" s="35">
        <v>16</v>
      </c>
      <c r="K31" s="64">
        <f t="shared" ref="K31:K35" si="13">J31+8</f>
        <v>24</v>
      </c>
      <c r="L31" s="69">
        <v>1.1000000000000001</v>
      </c>
      <c r="M31" s="47">
        <v>66</v>
      </c>
      <c r="P31" s="67">
        <v>0.6</v>
      </c>
    </row>
    <row r="32" spans="1:16" ht="14.4" x14ac:dyDescent="0.3">
      <c r="A32" s="46">
        <v>0.4</v>
      </c>
      <c r="B32" s="4">
        <v>4</v>
      </c>
      <c r="C32" s="35">
        <f>1605*(($D$8+$D$9)/2-$D$10)/50</f>
        <v>1605</v>
      </c>
      <c r="D32" s="5">
        <f>C32/(($D$8-$D$9)*1.163)</f>
        <v>138.00515907136713</v>
      </c>
      <c r="E32" s="43">
        <f t="shared" ref="E32:E35" si="14">0.000694966007451909*D32^1.79406140071215</f>
        <v>4.7980764273390584</v>
      </c>
      <c r="F32" s="5">
        <f>212*(($J$10-(($J$8+$J$9)/2))/10)^P32</f>
        <v>285.60211265949187</v>
      </c>
      <c r="G32" s="5">
        <f t="shared" ref="G32:G35" si="15">$F32/(IF((237.3*LN(($J$11*EXP(17.27*($J$10/($J$10+237.3))))))/(17.27-LN(($J$11*EXP(17.27*($J$10/($J$10+237.3))))))&lt;($J$8+$J$9)/2,1,1/(1+((2258*((0.622/((101325/(1*611*EXP(17.27*(($J$8+$J$9)/2/(($J$8+$J$9)/2+237.3))))))-1)*1000-(0.622/((101325/($J$11*611*EXP(17.27*($J$10/($J$10+237.3))))))-1)*1000))/(1005*(($J$8+$J$9)/2-$J$10))))-((-0.000625*$B32+0.00625)*($J$10-($J$8+$J$9)/2)-(-0.000625*$B32+0.00625)*10)))</f>
        <v>397.48201571294226</v>
      </c>
      <c r="H32" s="5">
        <f t="shared" ref="H32:H35" si="16">G32/(($J$9-$J$8)*1.163)</f>
        <v>68.354602874108721</v>
      </c>
      <c r="I32" s="6">
        <f t="shared" ref="I32:I35" si="17">0.000694966007451909*H32^1.79406140071215</f>
        <v>1.3603466397991963</v>
      </c>
      <c r="J32" s="35">
        <v>20</v>
      </c>
      <c r="K32" s="64">
        <f t="shared" si="13"/>
        <v>28</v>
      </c>
      <c r="L32" s="69">
        <v>2.1</v>
      </c>
      <c r="M32" s="47">
        <v>112</v>
      </c>
      <c r="P32" s="67">
        <v>0.68</v>
      </c>
    </row>
    <row r="33" spans="1:16" ht="14.4" x14ac:dyDescent="0.3">
      <c r="A33" s="46">
        <v>0.6</v>
      </c>
      <c r="B33" s="4">
        <v>6</v>
      </c>
      <c r="C33" s="35">
        <f>2260*(($D$8+$D$9)/2-$D$10)/50</f>
        <v>2260</v>
      </c>
      <c r="D33" s="5">
        <f t="shared" ref="D33:D35" si="18">C33/(($D$8-$D$9)*1.163)</f>
        <v>194.32502149613069</v>
      </c>
      <c r="E33" s="43">
        <f t="shared" si="14"/>
        <v>8.8659364002922754</v>
      </c>
      <c r="F33" s="5">
        <f>336*(($J$10-(($J$8+$J$9)/2))/10)^P33</f>
        <v>475.00843197282273</v>
      </c>
      <c r="G33" s="5">
        <f t="shared" si="15"/>
        <v>654.81970274660114</v>
      </c>
      <c r="H33" s="5">
        <f t="shared" si="16"/>
        <v>112.60871930294086</v>
      </c>
      <c r="I33" s="6">
        <f t="shared" si="17"/>
        <v>3.3312692289009611</v>
      </c>
      <c r="J33" s="35">
        <v>30</v>
      </c>
      <c r="K33" s="64">
        <f t="shared" si="13"/>
        <v>38</v>
      </c>
      <c r="L33" s="69">
        <v>4</v>
      </c>
      <c r="M33" s="47">
        <v>150</v>
      </c>
      <c r="P33" s="67">
        <v>0.79</v>
      </c>
    </row>
    <row r="34" spans="1:16" ht="14.4" x14ac:dyDescent="0.3">
      <c r="A34" s="46">
        <v>0.8</v>
      </c>
      <c r="B34" s="4">
        <v>8</v>
      </c>
      <c r="C34" s="35">
        <f>2881*(($D$8+$D$9)/2-$D$10)/50</f>
        <v>2881</v>
      </c>
      <c r="D34" s="5">
        <f t="shared" si="18"/>
        <v>247.72141014617367</v>
      </c>
      <c r="E34" s="43">
        <f t="shared" si="14"/>
        <v>13.705066616503046</v>
      </c>
      <c r="F34" s="5">
        <f>465*(($J$10-(($J$8+$J$9)/2))/10)^P34</f>
        <v>680.83446176882239</v>
      </c>
      <c r="G34" s="5">
        <f t="shared" si="15"/>
        <v>929.74812776770625</v>
      </c>
      <c r="H34" s="5">
        <f t="shared" si="16"/>
        <v>159.88789815437767</v>
      </c>
      <c r="I34" s="6">
        <f t="shared" si="17"/>
        <v>6.2480436238611965</v>
      </c>
      <c r="J34" s="35">
        <v>35</v>
      </c>
      <c r="K34" s="64">
        <f t="shared" si="13"/>
        <v>43</v>
      </c>
      <c r="L34" s="69">
        <v>6.6</v>
      </c>
      <c r="M34" s="47">
        <v>193</v>
      </c>
      <c r="P34" s="67">
        <v>0.87</v>
      </c>
    </row>
    <row r="35" spans="1:16" ht="14.4" x14ac:dyDescent="0.3">
      <c r="A35" s="46">
        <v>1</v>
      </c>
      <c r="B35" s="4">
        <v>10</v>
      </c>
      <c r="C35" s="35">
        <f>3479*(($D$8+$D$9)/2-$D$10)/50</f>
        <v>3479</v>
      </c>
      <c r="D35" s="5">
        <f t="shared" si="18"/>
        <v>299.14015477214099</v>
      </c>
      <c r="E35" s="43">
        <f t="shared" si="14"/>
        <v>19.223604377329103</v>
      </c>
      <c r="F35" s="5">
        <f>598*(($J$10-(($J$8+$J$9)/2))/10)^P35</f>
        <v>891.05195895675479</v>
      </c>
      <c r="G35" s="5">
        <f t="shared" si="15"/>
        <v>1205.5034468495876</v>
      </c>
      <c r="H35" s="5">
        <f t="shared" si="16"/>
        <v>207.30927718823517</v>
      </c>
      <c r="I35" s="6">
        <f t="shared" si="17"/>
        <v>9.9568008249761153</v>
      </c>
      <c r="J35" s="35">
        <v>39</v>
      </c>
      <c r="K35" s="64">
        <f t="shared" si="13"/>
        <v>47</v>
      </c>
      <c r="L35" s="69">
        <v>10.1</v>
      </c>
      <c r="M35" s="47">
        <v>239</v>
      </c>
      <c r="P35" s="67">
        <v>0.91</v>
      </c>
    </row>
    <row r="36" spans="1:16" ht="14.4" hidden="1" x14ac:dyDescent="0.3">
      <c r="A36" s="29" t="s">
        <v>14</v>
      </c>
      <c r="B36" s="34">
        <f>B22</f>
        <v>10</v>
      </c>
      <c r="C36" s="36">
        <f>IF($B$22&lt;=$B$17,(C31-0)/($B$17-0)*$B$22,IF($B$22&lt;=$B$18,(C34-C31)/($B$18-$B$17)*($B$22-$B$17)+C31,IF($B$22&lt;=$B$21,(C35-C34)/($B$21-$B$18)*($B$22-$B$18)+C34)))</f>
        <v>3479</v>
      </c>
      <c r="D36" s="30">
        <f>C36/(($D$8-$D$9)*1.163)</f>
        <v>299.14015477214099</v>
      </c>
      <c r="E36" s="42">
        <f>0.000115720760310885*D36^1.96267663452922</f>
        <v>8.3705256127257268</v>
      </c>
      <c r="F36" s="30">
        <f>IF($B$22&lt;=$B$17,(F31-0)/($B$17-0)*$B$22,IF($B$22&lt;=$B$18,(F34-F31)/($B$18-$B$17)*($B$22-$B$17)+F31,IF($B$22&lt;=$B$21,(F35-F34)/($B$21-$B$18)*($B$22-$B$18)+F34)))</f>
        <v>891.05195895675479</v>
      </c>
      <c r="G36" s="30"/>
      <c r="H36" s="30">
        <f>F36/(($J$9-$J$8)*1.163)</f>
        <v>153.23335493667321</v>
      </c>
      <c r="I36" s="31">
        <f>0.000115720760310885*H36^1.96267663452922</f>
        <v>2.2519210401309606</v>
      </c>
      <c r="J36" s="36">
        <f>IF($B$22&lt;=$B$17,(J31-0)/($B$17-0)*$B$22,IF($B$22&lt;=$B$18,(J34-J31)/($B$18-$B$17)*($B$22-$B$17)+J31,IF($B$22&lt;=$B$21,(J35-J34)/($B$21-$B$18)*($B$22-$B$18)+J34)))</f>
        <v>39</v>
      </c>
      <c r="K36" s="33">
        <f>IF($B$22&lt;=$B$17,(K31-0)/($B$17-0)*$B$22,IF($B$22&lt;=$B$18,(K34-K31)/($B$18-$B$17)*($B$22-$B$17)+K31,IF($B$22&lt;=$B$21,(K35-K34)/($B$21-$B$18)*($B$22-$B$18)+K34)))</f>
        <v>47</v>
      </c>
      <c r="L36" s="32">
        <f>IF($B$22&lt;=$B$17,(L31-0)/($B$17-0)*$B$22,IF($B$22&lt;=$B$18,(L34-L31)/($B$18-$B$17)*($B$22-$B$17)+L31,IF($B$22&lt;=$B$21,(L35-L34)/($B$21-$B$18)*($B$22-$B$18)+L34)))</f>
        <v>10.1</v>
      </c>
      <c r="M36" s="33">
        <f>IF($B$22&lt;=$B$17,(M31-0)/($B$17-0)*$B$22,IF($B$22&lt;=$B$18,(M34-M31)/($B$18-$B$17)*($B$22-$B$17)+M31,IF($B$22&lt;=$B$21,(M35-M34)/($B$21-$B$18)*($B$22-$B$18)+M34)))</f>
        <v>239</v>
      </c>
      <c r="P36" s="67"/>
    </row>
    <row r="37" spans="1:16" ht="16.95" customHeight="1" x14ac:dyDescent="0.3">
      <c r="A37" s="75" t="s">
        <v>32</v>
      </c>
      <c r="B37" s="76"/>
      <c r="C37" s="75"/>
      <c r="D37" s="77"/>
      <c r="E37" s="76"/>
      <c r="F37" s="76"/>
      <c r="G37" s="76"/>
      <c r="H37" s="76"/>
      <c r="I37" s="76"/>
      <c r="J37" s="75"/>
      <c r="K37" s="76"/>
      <c r="L37" s="76"/>
      <c r="M37" s="77"/>
      <c r="P37" s="67" t="s">
        <v>34</v>
      </c>
    </row>
    <row r="38" spans="1:16" ht="14.4" x14ac:dyDescent="0.3">
      <c r="A38" s="46">
        <v>0.2</v>
      </c>
      <c r="B38" s="4">
        <v>2</v>
      </c>
      <c r="C38" s="35">
        <f>1219*(($D$8+$D$9)/2-$D$10)/50</f>
        <v>1219</v>
      </c>
      <c r="D38" s="5">
        <f>C38/(($D$8-$D$9)*1.163)</f>
        <v>104.81513327601031</v>
      </c>
      <c r="E38" s="43">
        <f>0.000942610818998735*D38^1.78835044792727</f>
        <v>3.8686422389937332</v>
      </c>
      <c r="F38" s="5">
        <f>132*(($J$10-(($J$8+$J$9)/2))/10)^P38</f>
        <v>171.70104964679695</v>
      </c>
      <c r="G38" s="5">
        <f>$F38/(IF((237.3*LN(($J$11*EXP(17.27*($J$10/($J$10+237.3))))))/(17.27-LN(($J$11*EXP(17.27*($J$10/($J$10+237.3))))))&lt;($J$8+$J$9)/2,1,1/(1+((2258*((0.622/((101325/(1*611*EXP(17.27*(($J$8+$J$9)/2/(($J$8+$J$9)/2+237.3))))))-1)*1000-(0.622/((101325/($J$11*611*EXP(17.27*($J$10/($J$10+237.3))))))-1)*1000))/(1005*(($J$8+$J$9)/2-$J$10))))-((-0.000625*$B38+0.00625)*($J$10-($J$8+$J$9)/2)-(-0.000625*$B38+0.00625)*10)))</f>
        <v>241.27061312055201</v>
      </c>
      <c r="H38" s="5">
        <f>G38/(($J$9-$J$8)*1.163)</f>
        <v>41.491077062863631</v>
      </c>
      <c r="I38" s="6">
        <f>0.000942610818998735*H38^1.78835044792727</f>
        <v>0.73756864893151908</v>
      </c>
      <c r="J38" s="35">
        <v>18</v>
      </c>
      <c r="K38" s="64">
        <f t="shared" ref="K38:K42" si="19">J38+8</f>
        <v>26</v>
      </c>
      <c r="L38" s="69">
        <v>1.2</v>
      </c>
      <c r="M38" s="47">
        <v>84</v>
      </c>
      <c r="P38" s="67">
        <v>0.6</v>
      </c>
    </row>
    <row r="39" spans="1:16" ht="14.4" x14ac:dyDescent="0.3">
      <c r="A39" s="46">
        <v>0.4</v>
      </c>
      <c r="B39" s="4">
        <v>4</v>
      </c>
      <c r="C39" s="35">
        <f>2188*(($D$8+$D$9)/2-$D$10)/50</f>
        <v>2188</v>
      </c>
      <c r="D39" s="5">
        <f>C39/(($D$8-$D$9)*1.163)</f>
        <v>188.13413585554599</v>
      </c>
      <c r="E39" s="43">
        <f t="shared" ref="E39:E42" si="20">0.000942610818998735*D39^1.78835044792727</f>
        <v>11.012288401943284</v>
      </c>
      <c r="F39" s="5">
        <f>290*(($J$10-(($J$8+$J$9)/2))/10)^P39</f>
        <v>390.68213524175775</v>
      </c>
      <c r="G39" s="5">
        <f t="shared" ref="G39:G42" si="21">$F39/(IF((237.3*LN(($J$11*EXP(17.27*($J$10/($J$10+237.3))))))/(17.27-LN(($J$11*EXP(17.27*($J$10/($J$10+237.3))))))&lt;($J$8+$J$9)/2,1,1/(1+((2258*((0.622/((101325/(1*611*EXP(17.27*(($J$8+$J$9)/2/(($J$8+$J$9)/2+237.3))))))-1)*1000-(0.622/((101325/($J$11*611*EXP(17.27*($J$10/($J$10+237.3))))))-1)*1000))/(1005*(($J$8+$J$9)/2-$J$10))))-((-0.000625*$B39+0.00625)*($J$10-($J$8+$J$9)/2)-(-0.000625*$B39+0.00625)*10)))</f>
        <v>543.72539885260971</v>
      </c>
      <c r="H39" s="5">
        <f t="shared" ref="H39:H42" si="22">G39/(($J$9-$J$8)*1.163)</f>
        <v>93.503937893827981</v>
      </c>
      <c r="I39" s="6">
        <f t="shared" ref="I39:I42" si="23">0.000942610818998735*H39^1.78835044792727</f>
        <v>3.1540382598763594</v>
      </c>
      <c r="J39" s="35">
        <v>22</v>
      </c>
      <c r="K39" s="64">
        <f t="shared" si="19"/>
        <v>30</v>
      </c>
      <c r="L39" s="69">
        <v>2.5</v>
      </c>
      <c r="M39" s="47">
        <v>150</v>
      </c>
      <c r="P39" s="67">
        <v>0.68</v>
      </c>
    </row>
    <row r="40" spans="1:16" ht="14.4" x14ac:dyDescent="0.3">
      <c r="A40" s="46">
        <v>0.6</v>
      </c>
      <c r="B40" s="4">
        <v>6</v>
      </c>
      <c r="C40" s="35">
        <f>3082*(($D$8+$D$9)/2-$D$10)/50</f>
        <v>3082</v>
      </c>
      <c r="D40" s="5">
        <f t="shared" ref="D40:D42" si="24">C40/(($D$8-$D$9)*1.163)</f>
        <v>265.00429922613927</v>
      </c>
      <c r="E40" s="43">
        <f t="shared" si="20"/>
        <v>20.321598398497162</v>
      </c>
      <c r="F40" s="5">
        <f>458*(($J$10-(($J$8+$J$9)/2))/10)^P40</f>
        <v>647.48173167724053</v>
      </c>
      <c r="G40" s="5">
        <f t="shared" si="21"/>
        <v>892.58161862483132</v>
      </c>
      <c r="H40" s="5">
        <f t="shared" si="22"/>
        <v>153.49640904984201</v>
      </c>
      <c r="I40" s="6">
        <f t="shared" si="23"/>
        <v>7.6531839298882787</v>
      </c>
      <c r="J40" s="35">
        <v>32</v>
      </c>
      <c r="K40" s="64">
        <f t="shared" si="19"/>
        <v>40</v>
      </c>
      <c r="L40" s="69">
        <v>5.4</v>
      </c>
      <c r="M40" s="47">
        <v>196</v>
      </c>
      <c r="P40" s="67">
        <v>0.79</v>
      </c>
    </row>
    <row r="41" spans="1:16" ht="14.4" x14ac:dyDescent="0.3">
      <c r="A41" s="46">
        <v>0.8</v>
      </c>
      <c r="B41" s="4">
        <v>8</v>
      </c>
      <c r="C41" s="35">
        <f>3929*(($D$8+$D$9)/2-$D$10)/50</f>
        <v>3929</v>
      </c>
      <c r="D41" s="5">
        <f t="shared" si="24"/>
        <v>337.83319002579532</v>
      </c>
      <c r="E41" s="43">
        <f t="shared" si="20"/>
        <v>31.371720436486871</v>
      </c>
      <c r="F41" s="5">
        <f>634*(($J$10-(($J$8+$J$9)/2))/10)^P41</f>
        <v>928.27752421813625</v>
      </c>
      <c r="G41" s="5">
        <f t="shared" si="21"/>
        <v>1267.656587106937</v>
      </c>
      <c r="H41" s="5">
        <f t="shared" si="22"/>
        <v>217.99769339758157</v>
      </c>
      <c r="I41" s="6">
        <f t="shared" si="23"/>
        <v>14.331904980065508</v>
      </c>
      <c r="J41" s="35">
        <v>37</v>
      </c>
      <c r="K41" s="64">
        <f t="shared" si="19"/>
        <v>45</v>
      </c>
      <c r="L41" s="69">
        <v>9.1</v>
      </c>
      <c r="M41" s="47">
        <v>250</v>
      </c>
      <c r="P41" s="67">
        <v>0.87</v>
      </c>
    </row>
    <row r="42" spans="1:16" ht="14.4" x14ac:dyDescent="0.3">
      <c r="A42" s="56">
        <v>1</v>
      </c>
      <c r="B42" s="57">
        <v>10</v>
      </c>
      <c r="C42" s="58">
        <f>4744*(($D$8+$D$9)/2-$D$10)/50</f>
        <v>4744</v>
      </c>
      <c r="D42" s="59">
        <f t="shared" si="24"/>
        <v>407.91057609630263</v>
      </c>
      <c r="E42" s="60">
        <f t="shared" si="20"/>
        <v>43.947830999384017</v>
      </c>
      <c r="F42" s="59">
        <f>816*(($J$10-(($J$8+$J$9)/2))/10)^P42</f>
        <v>1215.8836095463409</v>
      </c>
      <c r="G42" s="59">
        <f t="shared" si="21"/>
        <v>1644.967914095758</v>
      </c>
      <c r="H42" s="59">
        <f t="shared" si="22"/>
        <v>282.88356218327738</v>
      </c>
      <c r="I42" s="61">
        <f t="shared" si="23"/>
        <v>22.838426045988289</v>
      </c>
      <c r="J42" s="58">
        <v>41</v>
      </c>
      <c r="K42" s="65">
        <f t="shared" si="19"/>
        <v>49</v>
      </c>
      <c r="L42" s="69">
        <v>14.1</v>
      </c>
      <c r="M42" s="62">
        <v>320</v>
      </c>
      <c r="P42" s="67">
        <v>0.91</v>
      </c>
    </row>
    <row r="43" spans="1:16" ht="14.4" hidden="1" x14ac:dyDescent="0.3">
      <c r="A43" s="48" t="s">
        <v>14</v>
      </c>
      <c r="B43" s="49">
        <f>B22</f>
        <v>10</v>
      </c>
      <c r="C43" s="50">
        <f>IF($B$22&lt;=$B$17,(C38-0)/($B$17-0)*$B$22,IF($B$22&lt;=$B$18,(C41-C38)/($B$18-$B$17)*($B$22-$B$17)+C38,IF($B$22&lt;=$B$21,(C42-C41)/($B$21-$B$18)*($B$22-$B$18)+C41)))</f>
        <v>4744</v>
      </c>
      <c r="D43" s="51">
        <f>C43/(($D$8-$D$9)*1.163)</f>
        <v>407.91057609630263</v>
      </c>
      <c r="E43" s="52">
        <f>0.000115720760310885*D43^1.96267663452922</f>
        <v>15.385306033832856</v>
      </c>
      <c r="F43" s="51">
        <f>IF($B$22&lt;=$B$17,(F38-0)/($B$17-0)*$B$22,IF($B$22&lt;=$B$18,(F41-F38)/($B$18-$B$17)*($B$22-$B$17)+F38,IF($B$22&lt;=$B$21,(F42-F41)/($B$21-$B$18)*($B$22-$B$18)+F41)))</f>
        <v>1215.8836095463409</v>
      </c>
      <c r="G43" s="51"/>
      <c r="H43" s="51">
        <f>F43/(($J$9-$J$8)*1.163)</f>
        <v>209.09434386007581</v>
      </c>
      <c r="I43" s="53">
        <f>0.000115720760310885*H43^1.96267663452922</f>
        <v>4.1446977498944548</v>
      </c>
      <c r="J43" s="50">
        <f>IF($B$22&lt;=$B$17,(J38-0)/($B$17-0)*$B$22,IF($B$22&lt;=$B$18,(J41-J38)/($B$18-$B$17)*($B$22-$B$17)+J38,IF($B$22&lt;=$B$21,(J42-J41)/($B$21-$B$18)*($B$22-$B$18)+J41)))</f>
        <v>41</v>
      </c>
      <c r="K43" s="54">
        <f>IF($B$22&lt;=$B$17,(K38-0)/($B$17-0)*$B$22,IF($B$22&lt;=$B$18,(K41-K38)/($B$18-$B$17)*($B$22-$B$17)+K38,IF($B$22&lt;=$B$21,(K42-K41)/($B$21-$B$18)*($B$22-$B$18)+K41)))</f>
        <v>49</v>
      </c>
      <c r="L43" s="71">
        <f>IF($B$22&lt;=$B$17,(L38-0)/($B$17-0)*$B$22,IF($B$22&lt;=$B$18,(L41-L38)/($B$18-$B$17)*($B$22-$B$17)+L38,IF($B$22&lt;=$B$21,(L42-L41)/($B$21-$B$18)*($B$22-$B$18)+L41)))</f>
        <v>14.1</v>
      </c>
      <c r="M43" s="54">
        <f>IF($B$22&lt;=$B$17,(M38-0)/($B$17-0)*$B$22,IF($B$22&lt;=$B$18,(M41-M38)/($B$18-$B$17)*($B$22-$B$17)+M38,IF($B$22&lt;=$B$21,(M42-M41)/($B$21-$B$18)*($B$22-$B$18)+M41)))</f>
        <v>320</v>
      </c>
    </row>
    <row r="44" spans="1:16" ht="9.4499999999999993" customHeight="1" x14ac:dyDescent="0.3">
      <c r="A44" s="7" t="s">
        <v>21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72"/>
      <c r="M44" s="68" t="s">
        <v>35</v>
      </c>
    </row>
    <row r="45" spans="1:16" ht="9.4499999999999993" customHeight="1" x14ac:dyDescent="0.3">
      <c r="A45" s="7" t="s">
        <v>22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6" ht="9.4499999999999993" customHeight="1" x14ac:dyDescent="0.3">
      <c r="A46" s="7" t="s">
        <v>23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6" s="3" customFormat="1" ht="16.05" hidden="1" customHeight="1" x14ac:dyDescent="0.3"/>
    <row r="48" spans="1:16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</sheetData>
  <sheetProtection algorithmName="SHA-512" hashValue="URNi2OVerZrE9+B1zk+0w/x/AfU91rw7gi0RRE4e5OO+1wP4DeE5AdOg2UxEL7ZxOm2K2OMEbbGpebNEVrZGDA==" saltValue="0ZT+b8hvSdm8ckdGBUBydA==" spinCount="100000" sheet="1" objects="1" scenarios="1" selectLockedCells="1"/>
  <dataConsolidate/>
  <mergeCells count="11">
    <mergeCell ref="A12:D12"/>
    <mergeCell ref="A16:M16"/>
    <mergeCell ref="A23:M23"/>
    <mergeCell ref="A30:M30"/>
    <mergeCell ref="A37:M37"/>
    <mergeCell ref="A8:C8"/>
    <mergeCell ref="F8:I8"/>
    <mergeCell ref="A9:C9"/>
    <mergeCell ref="F9:I9"/>
    <mergeCell ref="A10:C10"/>
    <mergeCell ref="F10:I10"/>
  </mergeCells>
  <dataValidations count="8">
    <dataValidation type="whole" errorStyle="information" allowBlank="1" showErrorMessage="1" error="Eingabe außerhalb des gültigen Bereichs." prompt="Eingabe zwischen 0% und 100%" sqref="E12">
      <formula1>0</formula1>
      <formula2>100</formula2>
    </dataValidation>
    <dataValidation type="whole" errorStyle="information" allowBlank="1" showErrorMessage="1" error="Eingabe außerhalb des gültigen Bereichs." prompt="20°C bis 35°C" sqref="J10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>
      <formula1>5</formula1>
      <formula2>20</formula2>
    </dataValidation>
    <dataValidation type="decimal" errorStyle="information" allowBlank="1" showErrorMessage="1" error="Eingabe außerhalb des gültigen Bereichs." prompt="20°C bis 35°C" sqref="J11">
      <formula1>0.01</formula1>
      <formula2>1</formula2>
    </dataValidation>
  </dataValidations>
  <pageMargins left="0.5" right="0.47222222222222221" top="1.0555555555555556" bottom="0.81944444444444442" header="0.43055555555555558" footer="0.40277777777777779"/>
  <pageSetup paperSize="9" orientation="portrait" r:id="rId1"/>
  <headerFooter>
    <oddHeader>&amp;L&amp;G&amp;C&amp;16&amp;K00-040CLIMA CANAL  AUSLEGUNG
Heizen &amp; Kühlen</oddHeader>
    <oddFooter>&amp;C&amp;8JAGA Deutschland GmbH • Neuer Zollhof 1 • 40221 Düsseldorf  • T +49 (0) 211 310 27 30 • info@jaga.de • www.jaga-deutschland.de_x000D_KBC Iban: DE58 3052 4400 0000 2837 88  • Bic: KREDDEDDXXX  • Amtsgericht Düsseldorf  • HRB32157 • UST Nr: DE174665903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Clima Canal Heizen</vt:lpstr>
      <vt:lpstr>Clima Canal Heizen &amp; Kühlen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Thomas</dc:creator>
  <cp:lastModifiedBy>Patrick Thomas</cp:lastModifiedBy>
  <cp:lastPrinted>2017-09-04T13:10:15Z</cp:lastPrinted>
  <dcterms:created xsi:type="dcterms:W3CDTF">2016-04-18T12:28:50Z</dcterms:created>
  <dcterms:modified xsi:type="dcterms:W3CDTF">2017-09-04T13:10:17Z</dcterms:modified>
</cp:coreProperties>
</file>