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_Server-Sync\Sync\BERECHNUNGSPROGRAMME\neue Tools\"/>
    </mc:Choice>
  </mc:AlternateContent>
  <workbookProtection workbookAlgorithmName="SHA-512" workbookHashValue="4J3NCzNEfAvj/jI3G6HA2DguODF5gdwSfYIZtnNDTS3VxqdCRB03mc2si7n3BfU9YC8ikE+LM/2J74DjMOr86Q==" workbookSaltValue="LPx8N8c8e1LSUaUu/keM3w==" workbookSpinCount="100000" lockStructure="1"/>
  <bookViews>
    <workbookView xWindow="1464" yWindow="96" windowWidth="25596" windowHeight="18384" tabRatio="500"/>
  </bookViews>
  <sheets>
    <sheet name="Brise 2-Leiter" sheetId="1" r:id="rId1"/>
    <sheet name="Brise 4-Leiter" sheetId="6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C37" i="1"/>
  <c r="C36" i="1"/>
  <c r="C34" i="1"/>
  <c r="C33" i="1"/>
  <c r="C32" i="1"/>
  <c r="C30" i="1"/>
  <c r="C29" i="1"/>
  <c r="C28" i="1"/>
  <c r="C26" i="1"/>
  <c r="C25" i="1"/>
  <c r="C24" i="1"/>
  <c r="C22" i="1"/>
  <c r="C21" i="1"/>
  <c r="C20" i="1"/>
  <c r="C18" i="1"/>
  <c r="C17" i="1"/>
  <c r="C16" i="1"/>
  <c r="F38" i="6"/>
  <c r="C38" i="6"/>
  <c r="F37" i="6"/>
  <c r="C37" i="6"/>
  <c r="F36" i="6"/>
  <c r="C36" i="6"/>
  <c r="F34" i="6"/>
  <c r="C34" i="6"/>
  <c r="F33" i="6"/>
  <c r="C33" i="6"/>
  <c r="F32" i="6"/>
  <c r="C32" i="6"/>
  <c r="F30" i="6"/>
  <c r="C30" i="6"/>
  <c r="F29" i="6"/>
  <c r="C29" i="6"/>
  <c r="F28" i="6"/>
  <c r="C28" i="6"/>
  <c r="F26" i="6"/>
  <c r="C26" i="6"/>
  <c r="F25" i="6"/>
  <c r="C25" i="6"/>
  <c r="F24" i="6"/>
  <c r="C24" i="6"/>
  <c r="F22" i="6"/>
  <c r="C22" i="6"/>
  <c r="F21" i="6"/>
  <c r="C21" i="6"/>
  <c r="F20" i="6"/>
  <c r="C20" i="6"/>
  <c r="F18" i="6"/>
  <c r="C18" i="6"/>
  <c r="F17" i="6"/>
  <c r="C17" i="6"/>
  <c r="F16" i="6"/>
  <c r="C16" i="6"/>
  <c r="F14" i="6"/>
  <c r="C14" i="6"/>
  <c r="F38" i="1"/>
  <c r="F37" i="1"/>
  <c r="F36" i="1"/>
  <c r="F34" i="1"/>
  <c r="F33" i="1"/>
  <c r="F32" i="1"/>
  <c r="F30" i="1"/>
  <c r="F29" i="1"/>
  <c r="F28" i="1"/>
  <c r="F26" i="1"/>
  <c r="F25" i="1"/>
  <c r="F24" i="1"/>
  <c r="F21" i="1"/>
  <c r="F22" i="1"/>
  <c r="F20" i="1"/>
  <c r="F18" i="1"/>
  <c r="F17" i="1"/>
  <c r="F16" i="1"/>
  <c r="F14" i="1"/>
  <c r="C14" i="1"/>
</calcChain>
</file>

<file path=xl/sharedStrings.xml><?xml version="1.0" encoding="utf-8"?>
<sst xmlns="http://schemas.openxmlformats.org/spreadsheetml/2006/main" count="78" uniqueCount="27">
  <si>
    <t>Auslegungsrandbedingungen</t>
  </si>
  <si>
    <t>Eingabefelder</t>
  </si>
  <si>
    <t>Temperaturen</t>
  </si>
  <si>
    <t>Heizen:</t>
  </si>
  <si>
    <t>Vorlauftemp. [°C]</t>
  </si>
  <si>
    <t>Rücklauftemp. [°C]</t>
  </si>
  <si>
    <t>Raumtemp. [°C]</t>
  </si>
  <si>
    <t>Kühlen:</t>
  </si>
  <si>
    <t>Drehzahlstufe:</t>
  </si>
  <si>
    <t>Schalldruckpegel* [dB(A)]</t>
  </si>
  <si>
    <t>Min.</t>
  </si>
  <si>
    <t>Med.</t>
  </si>
  <si>
    <t>Max.</t>
  </si>
  <si>
    <t>*Messhöhe 1m, im Abstand von 2m (8dB(A) Dämpfung)</t>
  </si>
  <si>
    <t>Luftdruck [m³/h]</t>
  </si>
  <si>
    <t>Brise (Typ 2) 4-Leiter</t>
  </si>
  <si>
    <t>Brise (Typ 3) 4-Leiter</t>
  </si>
  <si>
    <t>Brise (Typ 4) 4-Leiter</t>
  </si>
  <si>
    <t>Brise (Typ 6) 4-Leiter</t>
  </si>
  <si>
    <t>Brise (Typ 8) 4-Leiter</t>
  </si>
  <si>
    <t>Brise (Typ 10) 4-Leiter</t>
  </si>
  <si>
    <t>Brise (Typ 2) 2-Leiter</t>
  </si>
  <si>
    <t>Brise (Typ 3) 2-Leiter</t>
  </si>
  <si>
    <t>Brise (Typ 4) 2-Leiter</t>
  </si>
  <si>
    <t>Brise (Typ 6) 2-Leiter</t>
  </si>
  <si>
    <t>Brise (Typ 8) 2-Leiter</t>
  </si>
  <si>
    <t>Brise (Typ 10) 2-Leiter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</si>
</sst>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scheme val="minor"/>
    </font>
    <font>
      <i/>
      <sz val="11"/>
      <name val="Calibri"/>
      <scheme val="minor"/>
    </font>
    <font>
      <i/>
      <sz val="11"/>
      <color theme="7" tint="0.79998168889431442"/>
      <name val="Calibri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4" borderId="0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2" fontId="0" fillId="2" borderId="0" xfId="0" applyNumberFormat="1" applyFont="1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horizontal="center"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/>
    <xf numFmtId="0" fontId="7" fillId="2" borderId="0" xfId="0" applyFont="1" applyFill="1" applyBorder="1"/>
    <xf numFmtId="0" fontId="3" fillId="4" borderId="6" xfId="0" applyFont="1" applyFill="1" applyBorder="1"/>
    <xf numFmtId="0" fontId="0" fillId="4" borderId="7" xfId="0" applyFill="1" applyBorder="1"/>
    <xf numFmtId="0" fontId="0" fillId="4" borderId="10" xfId="0" applyFill="1" applyBorder="1"/>
    <xf numFmtId="0" fontId="3" fillId="4" borderId="4" xfId="0" applyFont="1" applyFill="1" applyBorder="1"/>
    <xf numFmtId="0" fontId="0" fillId="4" borderId="5" xfId="0" applyFill="1" applyBorder="1"/>
    <xf numFmtId="0" fontId="3" fillId="4" borderId="0" xfId="0" applyFont="1" applyFill="1" applyBorder="1"/>
    <xf numFmtId="0" fontId="0" fillId="4" borderId="0" xfId="0" applyFill="1" applyBorder="1" applyAlignment="1">
      <alignment horizontal="left"/>
    </xf>
    <xf numFmtId="0" fontId="0" fillId="4" borderId="4" xfId="0" applyFill="1" applyBorder="1"/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0" fillId="4" borderId="9" xfId="0" applyFill="1" applyBorder="1"/>
    <xf numFmtId="0" fontId="0" fillId="4" borderId="14" xfId="0" applyFill="1" applyBorder="1"/>
    <xf numFmtId="0" fontId="0" fillId="2" borderId="9" xfId="0" applyFill="1" applyBorder="1"/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6" fillId="4" borderId="0" xfId="0" applyFont="1" applyFill="1" applyBorder="1" applyAlignment="1">
      <alignment horizontal="center" vertical="center" textRotation="90" wrapText="1"/>
    </xf>
    <xf numFmtId="0" fontId="0" fillId="2" borderId="4" xfId="0" applyFill="1" applyBorder="1"/>
    <xf numFmtId="0" fontId="0" fillId="2" borderId="0" xfId="0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0" fillId="2" borderId="0" xfId="0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8" fillId="3" borderId="1" xfId="0" applyFont="1" applyFill="1" applyBorder="1" applyAlignment="1">
      <alignment horizontal="left"/>
    </xf>
    <xf numFmtId="49" fontId="9" fillId="3" borderId="2" xfId="0" applyNumberFormat="1" applyFont="1" applyFill="1" applyBorder="1"/>
    <xf numFmtId="0" fontId="3" fillId="2" borderId="0" xfId="0" applyFont="1" applyFill="1" applyBorder="1" applyProtection="1"/>
    <xf numFmtId="0" fontId="0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1" fontId="7" fillId="2" borderId="0" xfId="0" applyNumberFormat="1" applyFont="1" applyFill="1" applyBorder="1" applyAlignment="1" applyProtection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8" xfId="0" applyFont="1" applyFill="1" applyBorder="1"/>
    <xf numFmtId="0" fontId="0" fillId="2" borderId="9" xfId="0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/>
    </xf>
    <xf numFmtId="0" fontId="0" fillId="2" borderId="0" xfId="0" applyFill="1" applyBorder="1" applyProtection="1"/>
    <xf numFmtId="0" fontId="2" fillId="2" borderId="0" xfId="0" applyFont="1" applyFill="1" applyBorder="1" applyProtection="1"/>
    <xf numFmtId="2" fontId="10" fillId="2" borderId="4" xfId="0" applyNumberFormat="1" applyFont="1" applyFill="1" applyBorder="1" applyAlignment="1">
      <alignment horizontal="center" vertical="center"/>
    </xf>
  </cellXfs>
  <cellStyles count="7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"/>
  <dimension ref="A1:T98"/>
  <sheetViews>
    <sheetView tabSelected="1" workbookViewId="0">
      <selection activeCell="D10" sqref="D10"/>
    </sheetView>
  </sheetViews>
  <sheetFormatPr baseColWidth="10" defaultColWidth="0" defaultRowHeight="15.6" zeroHeight="1" x14ac:dyDescent="0.3"/>
  <cols>
    <col min="1" max="2" width="6.69921875" style="1" customWidth="1"/>
    <col min="3" max="3" width="6.19921875" style="1" customWidth="1"/>
    <col min="4" max="4" width="6.5" style="1" customWidth="1"/>
    <col min="5" max="5" width="3.19921875" style="1" customWidth="1"/>
    <col min="6" max="6" width="6.69921875" style="1" customWidth="1"/>
    <col min="7" max="7" width="7" style="1" customWidth="1"/>
    <col min="8" max="8" width="3.69921875" style="1" customWidth="1"/>
    <col min="9" max="9" width="6.69921875" style="1" customWidth="1"/>
    <col min="10" max="10" width="8.5" style="1" customWidth="1"/>
    <col min="11" max="11" width="3.69921875" style="1" customWidth="1"/>
    <col min="12" max="20" width="10.796875" style="1" hidden="1"/>
    <col min="21" max="16384" width="11.19921875" style="1" hidden="1"/>
  </cols>
  <sheetData>
    <row r="1" spans="1:20" customFormat="1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68"/>
      <c r="O1" s="68"/>
      <c r="P1" s="68"/>
      <c r="Q1" s="68"/>
      <c r="R1" s="68"/>
      <c r="S1" s="68"/>
      <c r="T1" s="68"/>
    </row>
    <row r="2" spans="1:20" customFormat="1" x14ac:dyDescent="0.3">
      <c r="A2" s="53" t="s">
        <v>1</v>
      </c>
      <c r="B2" s="5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68"/>
      <c r="O2" s="68"/>
      <c r="P2" s="68"/>
      <c r="Q2" s="68"/>
      <c r="R2" s="68"/>
      <c r="S2" s="68"/>
      <c r="T2" s="68"/>
    </row>
    <row r="3" spans="1:20" customFormat="1" ht="7.05" customHeight="1" x14ac:dyDescent="0.3">
      <c r="A3" s="12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68"/>
      <c r="O3" s="68"/>
      <c r="P3" s="68"/>
      <c r="Q3" s="68"/>
      <c r="R3" s="68"/>
      <c r="S3" s="68"/>
      <c r="T3" s="68"/>
    </row>
    <row r="4" spans="1:20" customFormat="1" x14ac:dyDescent="0.3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68"/>
      <c r="O4" s="68"/>
      <c r="P4" s="68"/>
      <c r="Q4" s="68"/>
      <c r="R4" s="68"/>
      <c r="S4" s="68"/>
      <c r="T4" s="68"/>
    </row>
    <row r="5" spans="1:20" customFormat="1" ht="4.05" customHeight="1" x14ac:dyDescent="0.3">
      <c r="A5" s="14"/>
      <c r="B5" s="15"/>
      <c r="C5" s="15"/>
      <c r="D5" s="15"/>
      <c r="E5" s="15"/>
      <c r="F5" s="15"/>
      <c r="G5" s="15"/>
      <c r="H5" s="15"/>
      <c r="I5" s="15"/>
      <c r="J5" s="16"/>
      <c r="K5" s="2"/>
      <c r="L5" s="2"/>
      <c r="M5" s="2"/>
      <c r="N5" s="68"/>
      <c r="O5" s="68"/>
      <c r="P5" s="68"/>
      <c r="Q5" s="68"/>
      <c r="R5" s="68"/>
      <c r="S5" s="68"/>
      <c r="T5" s="68"/>
    </row>
    <row r="6" spans="1:20" customFormat="1" x14ac:dyDescent="0.3">
      <c r="A6" s="17" t="s">
        <v>2</v>
      </c>
      <c r="B6" s="3"/>
      <c r="C6" s="3"/>
      <c r="D6" s="3"/>
      <c r="E6" s="3"/>
      <c r="F6" s="3"/>
      <c r="G6" s="3"/>
      <c r="H6" s="3"/>
      <c r="I6" s="3"/>
      <c r="J6" s="18"/>
      <c r="K6" s="2"/>
      <c r="L6" s="2"/>
      <c r="M6" s="2"/>
      <c r="N6" s="68"/>
      <c r="O6" s="68"/>
      <c r="P6" s="68"/>
      <c r="Q6" s="68"/>
      <c r="R6" s="68"/>
      <c r="S6" s="68"/>
      <c r="T6" s="68"/>
    </row>
    <row r="7" spans="1:20" customFormat="1" x14ac:dyDescent="0.3">
      <c r="A7" s="17" t="s">
        <v>3</v>
      </c>
      <c r="B7" s="3"/>
      <c r="C7" s="3"/>
      <c r="D7" s="3"/>
      <c r="E7" s="3"/>
      <c r="F7" s="19" t="s">
        <v>7</v>
      </c>
      <c r="G7" s="19"/>
      <c r="H7" s="3"/>
      <c r="I7" s="3"/>
      <c r="J7" s="18"/>
      <c r="K7" s="2"/>
      <c r="L7" s="2"/>
      <c r="M7" s="2"/>
      <c r="N7" s="68"/>
      <c r="O7" s="68"/>
      <c r="P7" s="68"/>
      <c r="Q7" s="68"/>
      <c r="R7" s="68"/>
      <c r="S7" s="68"/>
      <c r="T7" s="68"/>
    </row>
    <row r="8" spans="1:20" customFormat="1" x14ac:dyDescent="0.3">
      <c r="A8" s="71" t="s">
        <v>4</v>
      </c>
      <c r="B8" s="69"/>
      <c r="C8" s="69"/>
      <c r="D8" s="4">
        <v>75</v>
      </c>
      <c r="E8" s="20"/>
      <c r="F8" s="69" t="s">
        <v>4</v>
      </c>
      <c r="G8" s="69"/>
      <c r="H8" s="69"/>
      <c r="I8" s="4">
        <v>7</v>
      </c>
      <c r="J8" s="18"/>
      <c r="K8" s="2"/>
      <c r="L8" s="2"/>
      <c r="M8" s="2"/>
      <c r="N8" s="68"/>
      <c r="O8" s="68"/>
      <c r="P8" s="68"/>
      <c r="Q8" s="68"/>
      <c r="R8" s="68"/>
      <c r="S8" s="68"/>
      <c r="T8" s="68"/>
    </row>
    <row r="9" spans="1:20" customFormat="1" x14ac:dyDescent="0.3">
      <c r="A9" s="71" t="s">
        <v>5</v>
      </c>
      <c r="B9" s="69"/>
      <c r="C9" s="69"/>
      <c r="D9" s="4">
        <v>65</v>
      </c>
      <c r="E9" s="20"/>
      <c r="F9" s="69" t="s">
        <v>5</v>
      </c>
      <c r="G9" s="69"/>
      <c r="H9" s="69"/>
      <c r="I9" s="4">
        <v>12</v>
      </c>
      <c r="J9" s="18"/>
      <c r="K9" s="2"/>
      <c r="L9" s="2"/>
      <c r="M9" s="2"/>
      <c r="N9" s="68"/>
      <c r="O9" s="68"/>
      <c r="P9" s="68"/>
      <c r="Q9" s="68"/>
      <c r="R9" s="68"/>
      <c r="S9" s="68"/>
      <c r="T9" s="68"/>
    </row>
    <row r="10" spans="1:20" customFormat="1" x14ac:dyDescent="0.3">
      <c r="A10" s="71" t="s">
        <v>6</v>
      </c>
      <c r="B10" s="69"/>
      <c r="C10" s="70"/>
      <c r="D10" s="4">
        <v>20</v>
      </c>
      <c r="E10" s="20"/>
      <c r="F10" s="69" t="s">
        <v>6</v>
      </c>
      <c r="G10" s="69"/>
      <c r="H10" s="70"/>
      <c r="I10" s="4">
        <v>25</v>
      </c>
      <c r="J10" s="18"/>
      <c r="K10" s="2"/>
      <c r="L10" s="2"/>
      <c r="M10" s="2"/>
      <c r="N10" s="68"/>
      <c r="O10" s="68"/>
      <c r="P10" s="68"/>
      <c r="Q10" s="68"/>
      <c r="R10" s="68"/>
      <c r="S10" s="68"/>
      <c r="T10" s="68"/>
    </row>
    <row r="11" spans="1:20" customFormat="1" ht="10.050000000000001" customHeight="1" x14ac:dyDescent="0.3">
      <c r="A11" s="21"/>
      <c r="B11" s="3"/>
      <c r="C11" s="3"/>
      <c r="D11" s="3"/>
      <c r="E11" s="3"/>
      <c r="F11" s="3"/>
      <c r="G11" s="3"/>
      <c r="H11" s="3"/>
      <c r="I11" s="3"/>
      <c r="J11" s="18"/>
      <c r="K11" s="2"/>
      <c r="L11" s="2"/>
      <c r="M11" s="2"/>
      <c r="N11" s="68"/>
      <c r="O11" s="68"/>
      <c r="P11" s="68"/>
      <c r="Q11" s="68"/>
      <c r="R11" s="68"/>
      <c r="S11" s="68"/>
      <c r="T11" s="68"/>
    </row>
    <row r="12" spans="1:20" customFormat="1" ht="3" customHeight="1" x14ac:dyDescent="0.3">
      <c r="A12" s="22"/>
      <c r="B12" s="23"/>
      <c r="C12" s="23"/>
      <c r="D12" s="23"/>
      <c r="E12" s="24"/>
      <c r="F12" s="24"/>
      <c r="G12" s="24"/>
      <c r="H12" s="24"/>
      <c r="I12" s="24"/>
      <c r="J12" s="25"/>
      <c r="K12" s="2"/>
      <c r="L12" s="2"/>
      <c r="M12" s="2"/>
      <c r="N12" s="68"/>
      <c r="O12" s="68"/>
      <c r="P12" s="68"/>
      <c r="Q12" s="68"/>
      <c r="R12" s="68"/>
      <c r="S12" s="68"/>
      <c r="T12" s="68"/>
    </row>
    <row r="13" spans="1:20" customFormat="1" ht="10.95" customHeigh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"/>
      <c r="L13" s="2"/>
      <c r="M13" s="2"/>
      <c r="N13" s="68"/>
      <c r="O13" s="68"/>
      <c r="P13" s="68"/>
      <c r="Q13" s="68"/>
      <c r="R13" s="68"/>
      <c r="S13" s="68"/>
      <c r="T13" s="68"/>
    </row>
    <row r="14" spans="1:20" customFormat="1" ht="94.95" customHeight="1" x14ac:dyDescent="0.3">
      <c r="A14" s="27" t="s">
        <v>8</v>
      </c>
      <c r="B14" s="28"/>
      <c r="C14" s="27" t="str">
        <f>CONCATENATE("Wärmeleistung ",D8,"/",D9,"/",D10," [kW]")</f>
        <v>Wärmeleistung 75/65/20 [kW]</v>
      </c>
      <c r="D14" s="29"/>
      <c r="E14" s="30"/>
      <c r="F14" s="28" t="str">
        <f>CONCATENATE("Tot. Kälteleistung ",I8,"/",I9,"/",I10," [kW]")</f>
        <v>Tot. Kälteleistung 7/12/25 [kW]</v>
      </c>
      <c r="G14" s="28"/>
      <c r="H14" s="30"/>
      <c r="I14" s="27" t="s">
        <v>9</v>
      </c>
      <c r="J14" s="29" t="s">
        <v>14</v>
      </c>
      <c r="K14" s="2"/>
      <c r="L14" s="2"/>
      <c r="M14" s="2"/>
      <c r="N14" s="68"/>
      <c r="O14" s="68"/>
      <c r="P14" s="68"/>
      <c r="Q14" s="68"/>
      <c r="R14" s="68"/>
      <c r="S14" s="68"/>
      <c r="T14" s="68"/>
    </row>
    <row r="15" spans="1:20" customFormat="1" x14ac:dyDescent="0.3">
      <c r="A15" s="72" t="s">
        <v>21</v>
      </c>
      <c r="B15" s="73"/>
      <c r="C15" s="72"/>
      <c r="D15" s="74"/>
      <c r="E15" s="73"/>
      <c r="F15" s="73"/>
      <c r="G15" s="73"/>
      <c r="H15" s="73"/>
      <c r="I15" s="72"/>
      <c r="J15" s="74"/>
      <c r="K15" s="2"/>
      <c r="L15" s="2"/>
      <c r="M15" s="2"/>
      <c r="N15" s="68"/>
      <c r="O15" s="68"/>
      <c r="P15" s="68"/>
      <c r="Q15" s="68"/>
      <c r="R15" s="68"/>
      <c r="S15" s="68"/>
      <c r="T15" s="68"/>
    </row>
    <row r="16" spans="1:20" customFormat="1" ht="12" customHeight="1" x14ac:dyDescent="0.3">
      <c r="A16" s="31" t="s">
        <v>10</v>
      </c>
      <c r="B16" s="32"/>
      <c r="C16" s="60">
        <f>3.04*(($D$8+$D$9)/2-$D$10)/50</f>
        <v>3.04</v>
      </c>
      <c r="D16" s="33"/>
      <c r="E16" s="34"/>
      <c r="F16" s="34">
        <f>1.24*($I$10-(($I$8+$I$9)/2))/15.5</f>
        <v>1.24</v>
      </c>
      <c r="G16" s="34"/>
      <c r="H16" s="34"/>
      <c r="I16" s="35">
        <v>29</v>
      </c>
      <c r="J16" s="36">
        <v>220</v>
      </c>
      <c r="K16" s="2"/>
      <c r="L16" s="2"/>
      <c r="M16" s="2"/>
      <c r="N16" s="68"/>
      <c r="O16" s="68"/>
      <c r="P16" s="68"/>
      <c r="Q16" s="68"/>
      <c r="R16" s="68"/>
      <c r="S16" s="68"/>
      <c r="T16" s="68"/>
    </row>
    <row r="17" spans="1:20" customFormat="1" ht="12" customHeight="1" x14ac:dyDescent="0.3">
      <c r="A17" s="37" t="s">
        <v>11</v>
      </c>
      <c r="B17" s="38"/>
      <c r="C17" s="60">
        <f>3.6*(($D$8+$D$9)/2-$D$10)/50</f>
        <v>3.6</v>
      </c>
      <c r="D17" s="39"/>
      <c r="E17" s="40"/>
      <c r="F17" s="40">
        <f>1.47*($I$10-(($I$8+$I$9)/2))/15.5</f>
        <v>1.47</v>
      </c>
      <c r="G17" s="40"/>
      <c r="H17" s="40"/>
      <c r="I17" s="42">
        <v>35</v>
      </c>
      <c r="J17" s="43">
        <v>295</v>
      </c>
      <c r="K17" s="2"/>
      <c r="L17" s="2"/>
      <c r="M17" s="2"/>
      <c r="N17" s="68"/>
      <c r="O17" s="68"/>
      <c r="P17" s="68"/>
      <c r="Q17" s="68"/>
      <c r="R17" s="68"/>
      <c r="S17" s="68"/>
      <c r="T17" s="68"/>
    </row>
    <row r="18" spans="1:20" customFormat="1" ht="12" customHeight="1" x14ac:dyDescent="0.3">
      <c r="A18" s="44" t="s">
        <v>12</v>
      </c>
      <c r="B18" s="45"/>
      <c r="C18" s="60">
        <f>4*(($D$8+$D$9)/2-$D$10)/50</f>
        <v>4</v>
      </c>
      <c r="D18" s="46"/>
      <c r="E18" s="47"/>
      <c r="F18" s="47">
        <f>1.63*($I$10-(($I$8+$I$9)/2))/15.5</f>
        <v>1.63</v>
      </c>
      <c r="G18" s="47"/>
      <c r="H18" s="47"/>
      <c r="I18" s="49">
        <v>41</v>
      </c>
      <c r="J18" s="50">
        <v>380</v>
      </c>
      <c r="K18" s="2"/>
      <c r="L18" s="2"/>
      <c r="M18" s="2"/>
      <c r="N18" s="68"/>
      <c r="O18" s="68"/>
      <c r="P18" s="68"/>
      <c r="Q18" s="68"/>
      <c r="R18" s="68"/>
      <c r="S18" s="68"/>
      <c r="T18" s="68"/>
    </row>
    <row r="19" spans="1:20" customFormat="1" x14ac:dyDescent="0.3">
      <c r="A19" s="72" t="s">
        <v>22</v>
      </c>
      <c r="B19" s="73"/>
      <c r="C19" s="72"/>
      <c r="D19" s="74"/>
      <c r="E19" s="73"/>
      <c r="F19" s="73"/>
      <c r="G19" s="73"/>
      <c r="H19" s="73"/>
      <c r="I19" s="72"/>
      <c r="J19" s="74"/>
      <c r="K19" s="2"/>
      <c r="L19" s="2"/>
      <c r="M19" s="2"/>
      <c r="N19" s="68"/>
      <c r="O19" s="68"/>
      <c r="P19" s="68"/>
      <c r="Q19" s="68"/>
      <c r="R19" s="68"/>
      <c r="S19" s="68"/>
      <c r="T19" s="68"/>
    </row>
    <row r="20" spans="1:20" customFormat="1" ht="13.05" customHeight="1" x14ac:dyDescent="0.3">
      <c r="A20" s="44" t="s">
        <v>10</v>
      </c>
      <c r="B20" s="45"/>
      <c r="C20" s="60">
        <f>4.22*(($D$8+$D$9)/2-$D$10)/50</f>
        <v>4.22</v>
      </c>
      <c r="D20" s="46"/>
      <c r="E20" s="47"/>
      <c r="F20" s="34">
        <f>1.73*($I$10-(($I$8+$I$9)/2))/15.5</f>
        <v>1.73</v>
      </c>
      <c r="G20" s="34"/>
      <c r="H20" s="47"/>
      <c r="I20" s="49">
        <v>29</v>
      </c>
      <c r="J20" s="50">
        <v>290</v>
      </c>
      <c r="K20" s="2"/>
      <c r="L20" s="2"/>
      <c r="M20" s="2"/>
      <c r="N20" s="68"/>
      <c r="O20" s="68"/>
      <c r="P20" s="68"/>
      <c r="Q20" s="68"/>
      <c r="R20" s="68"/>
      <c r="S20" s="68"/>
      <c r="T20" s="68"/>
    </row>
    <row r="21" spans="1:20" customFormat="1" ht="13.05" customHeight="1" x14ac:dyDescent="0.3">
      <c r="A21" s="37" t="s">
        <v>11</v>
      </c>
      <c r="B21" s="38"/>
      <c r="C21" s="60">
        <f>5*(($D$8+$D$9)/2-$D$10)/50</f>
        <v>5</v>
      </c>
      <c r="D21" s="39"/>
      <c r="E21" s="40"/>
      <c r="F21" s="40">
        <f>2.05*($I$10-(($I$8+$I$9)/2))/15.5</f>
        <v>2.0499999999999998</v>
      </c>
      <c r="G21" s="40"/>
      <c r="H21" s="40"/>
      <c r="I21" s="42">
        <v>35</v>
      </c>
      <c r="J21" s="43">
        <v>390</v>
      </c>
      <c r="K21" s="2"/>
      <c r="L21" s="2"/>
      <c r="M21" s="2"/>
      <c r="N21" s="68"/>
      <c r="O21" s="68"/>
      <c r="P21" s="68"/>
      <c r="Q21" s="68"/>
      <c r="R21" s="68"/>
      <c r="S21" s="68"/>
      <c r="T21" s="68"/>
    </row>
    <row r="22" spans="1:20" customFormat="1" ht="13.05" customHeight="1" x14ac:dyDescent="0.3">
      <c r="A22" s="44" t="s">
        <v>12</v>
      </c>
      <c r="B22" s="45"/>
      <c r="C22" s="60">
        <f>5.56*(($D$8+$D$9)/2-$D$10)/50</f>
        <v>5.56</v>
      </c>
      <c r="D22" s="46"/>
      <c r="E22" s="47"/>
      <c r="F22" s="47">
        <f>2.28*($I$10-(($I$8+$I$9)/2))/15.5</f>
        <v>2.2799999999999998</v>
      </c>
      <c r="G22" s="47"/>
      <c r="H22" s="47"/>
      <c r="I22" s="49">
        <v>41</v>
      </c>
      <c r="J22" s="50">
        <v>500</v>
      </c>
      <c r="K22" s="2"/>
      <c r="L22" s="2"/>
      <c r="M22" s="2"/>
      <c r="N22" s="68"/>
      <c r="O22" s="68"/>
      <c r="P22" s="68"/>
      <c r="Q22" s="68"/>
      <c r="R22" s="68"/>
      <c r="S22" s="68"/>
      <c r="T22" s="68"/>
    </row>
    <row r="23" spans="1:20" customFormat="1" x14ac:dyDescent="0.3">
      <c r="A23" s="72" t="s">
        <v>23</v>
      </c>
      <c r="B23" s="73"/>
      <c r="C23" s="72"/>
      <c r="D23" s="74"/>
      <c r="E23" s="73"/>
      <c r="F23" s="73"/>
      <c r="G23" s="73"/>
      <c r="H23" s="73"/>
      <c r="I23" s="72"/>
      <c r="J23" s="74"/>
      <c r="K23" s="2"/>
      <c r="L23" s="2"/>
      <c r="M23" s="2"/>
      <c r="N23" s="68"/>
      <c r="O23" s="68"/>
      <c r="P23" s="68"/>
      <c r="Q23" s="68"/>
      <c r="R23" s="68"/>
      <c r="S23" s="68"/>
      <c r="T23" s="68"/>
    </row>
    <row r="24" spans="1:20" customFormat="1" ht="13.05" customHeight="1" x14ac:dyDescent="0.3">
      <c r="A24" s="44" t="s">
        <v>10</v>
      </c>
      <c r="B24" s="45"/>
      <c r="C24" s="60">
        <f>6.13*(($D$8+$D$9)/2-$D$10)/50</f>
        <v>6.13</v>
      </c>
      <c r="D24" s="46"/>
      <c r="E24" s="47"/>
      <c r="F24" s="34">
        <f>2.56*($I$10-(($I$8+$I$9)/2))/15.5</f>
        <v>2.56</v>
      </c>
      <c r="G24" s="48"/>
      <c r="H24" s="47"/>
      <c r="I24" s="49">
        <v>30</v>
      </c>
      <c r="J24" s="50">
        <v>410</v>
      </c>
      <c r="K24" s="2"/>
      <c r="L24" s="2"/>
      <c r="M24" s="2"/>
      <c r="N24" s="68"/>
      <c r="O24" s="68"/>
      <c r="P24" s="68"/>
      <c r="Q24" s="68"/>
      <c r="R24" s="68"/>
      <c r="S24" s="68"/>
      <c r="T24" s="68"/>
    </row>
    <row r="25" spans="1:20" customFormat="1" ht="13.05" customHeight="1" x14ac:dyDescent="0.3">
      <c r="A25" s="37" t="s">
        <v>11</v>
      </c>
      <c r="B25" s="38"/>
      <c r="C25" s="60">
        <f>7.26*(($D$8+$D$9)/2-$D$10)/50</f>
        <v>7.26</v>
      </c>
      <c r="D25" s="39"/>
      <c r="E25" s="40"/>
      <c r="F25" s="40">
        <f>3.03*($I$10-(($I$8+$I$9)/2))/15.5</f>
        <v>3.03</v>
      </c>
      <c r="G25" s="41"/>
      <c r="H25" s="40"/>
      <c r="I25" s="42">
        <v>36</v>
      </c>
      <c r="J25" s="43">
        <v>545</v>
      </c>
      <c r="K25" s="2"/>
      <c r="L25" s="2"/>
      <c r="M25" s="2"/>
      <c r="N25" s="68"/>
      <c r="O25" s="68"/>
      <c r="P25" s="68"/>
      <c r="Q25" s="68"/>
      <c r="R25" s="68"/>
      <c r="S25" s="68"/>
      <c r="T25" s="68"/>
    </row>
    <row r="26" spans="1:20" customFormat="1" ht="13.05" customHeight="1" x14ac:dyDescent="0.3">
      <c r="A26" s="44" t="s">
        <v>12</v>
      </c>
      <c r="B26" s="45"/>
      <c r="C26" s="60">
        <f>8.07*(($D$8+$D$9)/2-$D$10)/50</f>
        <v>8.07</v>
      </c>
      <c r="D26" s="46"/>
      <c r="E26" s="47"/>
      <c r="F26" s="47">
        <f>3.37*($I$10-(($I$8+$I$9)/2))/15.5</f>
        <v>3.37</v>
      </c>
      <c r="G26" s="48"/>
      <c r="H26" s="47"/>
      <c r="I26" s="49">
        <v>44</v>
      </c>
      <c r="J26" s="50">
        <v>700</v>
      </c>
      <c r="K26" s="2"/>
      <c r="L26" s="2"/>
      <c r="M26" s="2"/>
      <c r="N26" s="68"/>
      <c r="O26" s="68"/>
      <c r="P26" s="68"/>
      <c r="Q26" s="68"/>
      <c r="R26" s="68"/>
      <c r="S26" s="68"/>
      <c r="T26" s="68"/>
    </row>
    <row r="27" spans="1:20" customFormat="1" ht="13.95" customHeight="1" x14ac:dyDescent="0.3">
      <c r="A27" s="72" t="s">
        <v>24</v>
      </c>
      <c r="B27" s="73"/>
      <c r="C27" s="72"/>
      <c r="D27" s="74"/>
      <c r="E27" s="73"/>
      <c r="F27" s="73"/>
      <c r="G27" s="73"/>
      <c r="H27" s="73"/>
      <c r="I27" s="72"/>
      <c r="J27" s="74"/>
      <c r="K27" s="2"/>
      <c r="L27" s="2"/>
      <c r="M27" s="2"/>
      <c r="N27" s="68"/>
      <c r="O27" s="68"/>
      <c r="P27" s="68"/>
      <c r="Q27" s="68"/>
      <c r="R27" s="68"/>
      <c r="S27" s="68"/>
      <c r="T27" s="68"/>
    </row>
    <row r="28" spans="1:20" customFormat="1" ht="12" customHeight="1" x14ac:dyDescent="0.3">
      <c r="A28" s="44" t="s">
        <v>10</v>
      </c>
      <c r="B28" s="45"/>
      <c r="C28" s="60">
        <f>8.76*(($D$8+$D$9)/2-$D$10)/50</f>
        <v>8.76</v>
      </c>
      <c r="D28" s="46"/>
      <c r="E28" s="47"/>
      <c r="F28" s="34">
        <f>3.71*($I$10-(($I$8+$I$9)/2))/15.5</f>
        <v>3.71</v>
      </c>
      <c r="G28" s="48"/>
      <c r="H28" s="47"/>
      <c r="I28" s="49">
        <v>31</v>
      </c>
      <c r="J28" s="50">
        <v>510</v>
      </c>
      <c r="K28" s="2"/>
      <c r="L28" s="2"/>
      <c r="M28" s="2"/>
      <c r="N28" s="68"/>
      <c r="O28" s="68"/>
      <c r="P28" s="68"/>
      <c r="Q28" s="68"/>
      <c r="R28" s="68"/>
      <c r="S28" s="68"/>
      <c r="T28" s="68"/>
    </row>
    <row r="29" spans="1:20" customFormat="1" ht="12" customHeight="1" x14ac:dyDescent="0.3">
      <c r="A29" s="37" t="s">
        <v>11</v>
      </c>
      <c r="B29" s="38"/>
      <c r="C29" s="60">
        <f>10.38*(($D$8+$D$9)/2-$D$10)/50</f>
        <v>10.38</v>
      </c>
      <c r="D29" s="39"/>
      <c r="E29" s="40"/>
      <c r="F29" s="40">
        <f>4.39*($I$10-(($I$8+$I$9)/2))/15.5</f>
        <v>4.3899999999999997</v>
      </c>
      <c r="G29" s="41"/>
      <c r="H29" s="40"/>
      <c r="I29" s="42">
        <v>37</v>
      </c>
      <c r="J29" s="43">
        <v>690</v>
      </c>
      <c r="K29" s="2"/>
      <c r="L29" s="2"/>
      <c r="M29" s="2"/>
      <c r="N29" s="68"/>
      <c r="O29" s="68"/>
      <c r="P29" s="68"/>
      <c r="Q29" s="68"/>
      <c r="R29" s="68"/>
      <c r="S29" s="68"/>
      <c r="T29" s="68"/>
    </row>
    <row r="30" spans="1:20" customFormat="1" ht="12" customHeight="1" x14ac:dyDescent="0.3">
      <c r="A30" s="44" t="s">
        <v>12</v>
      </c>
      <c r="B30" s="45"/>
      <c r="C30" s="60">
        <f>11.53*(($D$8+$D$9)/2-$D$10)/50</f>
        <v>11.53</v>
      </c>
      <c r="D30" s="46"/>
      <c r="E30" s="47"/>
      <c r="F30" s="47">
        <f>4.88*($I$10-(($I$8+$I$9)/2))/15.5</f>
        <v>4.88</v>
      </c>
      <c r="G30" s="48"/>
      <c r="H30" s="47"/>
      <c r="I30" s="49">
        <v>50</v>
      </c>
      <c r="J30" s="50">
        <v>880</v>
      </c>
      <c r="K30" s="2"/>
      <c r="L30" s="2"/>
      <c r="M30" s="2"/>
      <c r="N30" s="68"/>
      <c r="O30" s="68"/>
      <c r="P30" s="68"/>
      <c r="Q30" s="68"/>
      <c r="R30" s="68"/>
      <c r="S30" s="68"/>
      <c r="T30" s="68"/>
    </row>
    <row r="31" spans="1:20" customFormat="1" x14ac:dyDescent="0.3">
      <c r="A31" s="72" t="s">
        <v>25</v>
      </c>
      <c r="B31" s="73"/>
      <c r="C31" s="72"/>
      <c r="D31" s="74"/>
      <c r="E31" s="73"/>
      <c r="F31" s="73"/>
      <c r="G31" s="73"/>
      <c r="H31" s="73"/>
      <c r="I31" s="72"/>
      <c r="J31" s="74"/>
      <c r="K31" s="2"/>
      <c r="L31" s="2"/>
      <c r="M31" s="2"/>
      <c r="N31" s="68"/>
      <c r="O31" s="68"/>
      <c r="P31" s="68"/>
      <c r="Q31" s="68"/>
      <c r="R31" s="68"/>
      <c r="S31" s="68"/>
      <c r="T31" s="68"/>
    </row>
    <row r="32" spans="1:20" customFormat="1" ht="12" customHeight="1" x14ac:dyDescent="0.3">
      <c r="A32" s="44" t="s">
        <v>10</v>
      </c>
      <c r="B32" s="45"/>
      <c r="C32" s="60">
        <f>14.17*(($D$8+$D$9)/2-$D$10)/50</f>
        <v>14.17</v>
      </c>
      <c r="D32" s="46"/>
      <c r="E32" s="47"/>
      <c r="F32" s="34">
        <f>6.1*($I$10-(($I$8+$I$9)/2))/15.5</f>
        <v>6.1</v>
      </c>
      <c r="G32" s="48"/>
      <c r="H32" s="47"/>
      <c r="I32" s="49">
        <v>43</v>
      </c>
      <c r="J32" s="50">
        <v>720</v>
      </c>
      <c r="K32" s="2"/>
      <c r="L32" s="2"/>
      <c r="M32" s="2"/>
      <c r="N32" s="68"/>
      <c r="O32" s="68"/>
      <c r="P32" s="68"/>
      <c r="Q32" s="68"/>
      <c r="R32" s="68"/>
      <c r="S32" s="68"/>
      <c r="T32" s="68"/>
    </row>
    <row r="33" spans="1:20" customFormat="1" ht="12" customHeight="1" x14ac:dyDescent="0.3">
      <c r="A33" s="37" t="s">
        <v>11</v>
      </c>
      <c r="B33" s="38"/>
      <c r="C33" s="60">
        <f>16.78*(($D$8+$D$9)/2-$D$10)/50</f>
        <v>16.78</v>
      </c>
      <c r="D33" s="39"/>
      <c r="E33" s="40"/>
      <c r="F33" s="40">
        <f>7.22*($I$10-(($I$8+$I$9)/2))/15.5</f>
        <v>7.22</v>
      </c>
      <c r="G33" s="41"/>
      <c r="H33" s="40"/>
      <c r="I33" s="42">
        <v>37</v>
      </c>
      <c r="J33" s="43">
        <v>1050</v>
      </c>
      <c r="K33" s="2"/>
      <c r="L33" s="2"/>
      <c r="M33" s="2"/>
      <c r="N33" s="68"/>
      <c r="O33" s="68"/>
      <c r="P33" s="68"/>
      <c r="Q33" s="68"/>
      <c r="R33" s="68"/>
      <c r="S33" s="68"/>
      <c r="T33" s="68"/>
    </row>
    <row r="34" spans="1:20" customFormat="1" ht="12" customHeight="1" x14ac:dyDescent="0.3">
      <c r="A34" s="44" t="s">
        <v>12</v>
      </c>
      <c r="B34" s="45"/>
      <c r="C34" s="60">
        <f>19.48*(($D$8+$D$9)/2-$D$10)/50</f>
        <v>19.48</v>
      </c>
      <c r="D34" s="46"/>
      <c r="E34" s="47"/>
      <c r="F34" s="47">
        <f>8.02*($I$10-(($I$8+$I$9)/2))/15.5</f>
        <v>8.02</v>
      </c>
      <c r="G34" s="48"/>
      <c r="H34" s="47"/>
      <c r="I34" s="49">
        <v>50</v>
      </c>
      <c r="J34" s="50">
        <v>1350</v>
      </c>
      <c r="K34" s="2"/>
      <c r="L34" s="2"/>
      <c r="M34" s="2"/>
      <c r="N34" s="68"/>
      <c r="O34" s="68"/>
      <c r="P34" s="68"/>
      <c r="Q34" s="68"/>
      <c r="R34" s="68"/>
      <c r="S34" s="68"/>
      <c r="T34" s="68"/>
    </row>
    <row r="35" spans="1:20" customFormat="1" x14ac:dyDescent="0.3">
      <c r="A35" s="72" t="s">
        <v>26</v>
      </c>
      <c r="B35" s="73"/>
      <c r="C35" s="72"/>
      <c r="D35" s="74"/>
      <c r="E35" s="73"/>
      <c r="F35" s="73"/>
      <c r="G35" s="73"/>
      <c r="H35" s="73"/>
      <c r="I35" s="72"/>
      <c r="J35" s="74"/>
      <c r="K35" s="2"/>
      <c r="L35" s="2"/>
      <c r="M35" s="2"/>
      <c r="N35" s="68"/>
      <c r="O35" s="68"/>
      <c r="P35" s="68"/>
      <c r="Q35" s="68"/>
      <c r="R35" s="68"/>
      <c r="S35" s="68"/>
      <c r="T35" s="68"/>
    </row>
    <row r="36" spans="1:20" customFormat="1" ht="12" customHeight="1" x14ac:dyDescent="0.3">
      <c r="A36" s="44" t="s">
        <v>10</v>
      </c>
      <c r="B36" s="45"/>
      <c r="C36" s="60">
        <f>15.97*(($D$8+$D$9)/2-$D$10)/50</f>
        <v>15.97</v>
      </c>
      <c r="D36" s="46"/>
      <c r="E36" s="47"/>
      <c r="F36" s="34">
        <f>7.4*($I$10-(($I$8+$I$9)/2))/15.5</f>
        <v>7.4</v>
      </c>
      <c r="G36" s="48"/>
      <c r="H36" s="47"/>
      <c r="I36" s="49">
        <v>37</v>
      </c>
      <c r="J36" s="50">
        <v>955</v>
      </c>
      <c r="K36" s="2"/>
      <c r="L36" s="2"/>
      <c r="M36" s="2"/>
      <c r="N36" s="68"/>
      <c r="O36" s="68"/>
      <c r="P36" s="68"/>
      <c r="Q36" s="68"/>
      <c r="R36" s="68"/>
      <c r="S36" s="68"/>
      <c r="T36" s="68"/>
    </row>
    <row r="37" spans="1:20" customFormat="1" ht="12" customHeight="1" x14ac:dyDescent="0.3">
      <c r="A37" s="37" t="s">
        <v>11</v>
      </c>
      <c r="B37" s="38"/>
      <c r="C37" s="60">
        <f>18.92*(($D$8+$D$9)/2-$D$10)/50</f>
        <v>18.920000000000002</v>
      </c>
      <c r="D37" s="39"/>
      <c r="E37" s="40"/>
      <c r="F37" s="40">
        <f>8.79*($I$10-(($I$8+$I$9)/2))/15.5</f>
        <v>8.7899999999999991</v>
      </c>
      <c r="G37" s="41"/>
      <c r="H37" s="40"/>
      <c r="I37" s="42">
        <v>43</v>
      </c>
      <c r="J37" s="43">
        <v>1325</v>
      </c>
      <c r="K37" s="2"/>
      <c r="L37" s="2"/>
      <c r="M37" s="2"/>
      <c r="N37" s="68"/>
      <c r="O37" s="68"/>
      <c r="P37" s="68"/>
      <c r="Q37" s="68"/>
      <c r="R37" s="68"/>
      <c r="S37" s="68"/>
      <c r="T37" s="68"/>
    </row>
    <row r="38" spans="1:20" customFormat="1" ht="12" customHeight="1" x14ac:dyDescent="0.3">
      <c r="A38" s="61" t="s">
        <v>12</v>
      </c>
      <c r="B38" s="63"/>
      <c r="C38" s="64">
        <f>21.02*(($D$8+$D$9)/2-$D$10)/50</f>
        <v>21.02</v>
      </c>
      <c r="D38" s="63"/>
      <c r="E38" s="64"/>
      <c r="F38" s="62">
        <f>9.97*($I$10-(($I$8+$I$9)/2))/15.5</f>
        <v>9.9700000000000006</v>
      </c>
      <c r="G38" s="65"/>
      <c r="H38" s="64"/>
      <c r="I38" s="66">
        <v>53</v>
      </c>
      <c r="J38" s="67">
        <v>1700</v>
      </c>
      <c r="K38" s="2"/>
      <c r="L38" s="2"/>
      <c r="M38" s="2"/>
      <c r="N38" s="68"/>
      <c r="O38" s="68"/>
      <c r="P38" s="68"/>
      <c r="Q38" s="68"/>
      <c r="R38" s="68"/>
      <c r="S38" s="68"/>
      <c r="T38" s="68"/>
    </row>
    <row r="39" spans="1:20" customFormat="1" ht="9" customHeight="1" x14ac:dyDescent="0.3">
      <c r="A39" s="5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68"/>
      <c r="O39" s="68"/>
      <c r="P39" s="68"/>
      <c r="Q39" s="68"/>
      <c r="R39" s="68"/>
      <c r="S39" s="68"/>
      <c r="T39" s="68"/>
    </row>
    <row r="40" spans="1:20" customFormat="1" ht="12" customHeight="1" x14ac:dyDescent="0.3">
      <c r="A40" s="52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68"/>
      <c r="O40" s="68"/>
      <c r="P40" s="68"/>
      <c r="Q40" s="68"/>
      <c r="R40" s="68"/>
      <c r="S40" s="68"/>
      <c r="T40" s="68"/>
    </row>
    <row r="41" spans="1:20" customFormat="1" ht="12" hidden="1" customHeight="1" x14ac:dyDescent="0.3">
      <c r="A41" s="55"/>
      <c r="B41" s="5"/>
      <c r="C41" s="9"/>
      <c r="D41" s="9"/>
      <c r="E41" s="6"/>
      <c r="F41" s="1"/>
      <c r="G41" s="1"/>
      <c r="H41" s="1"/>
      <c r="I41" s="5"/>
      <c r="J41" s="5"/>
      <c r="K41" s="2"/>
      <c r="L41" s="2"/>
      <c r="M41" s="2"/>
      <c r="N41" s="68"/>
      <c r="O41" s="68"/>
      <c r="P41" s="68"/>
      <c r="Q41" s="68"/>
      <c r="R41" s="68"/>
      <c r="S41" s="68"/>
      <c r="T41" s="68"/>
    </row>
    <row r="42" spans="1:20" customFormat="1" ht="12" hidden="1" customHeight="1" x14ac:dyDescent="0.3">
      <c r="A42" s="56"/>
      <c r="B42" s="7"/>
      <c r="C42" s="10"/>
      <c r="D42" s="10"/>
      <c r="E42" s="8"/>
      <c r="F42" s="1"/>
      <c r="G42" s="1"/>
      <c r="H42" s="1"/>
      <c r="I42" s="7"/>
      <c r="J42" s="7"/>
      <c r="K42" s="2"/>
      <c r="L42" s="2"/>
      <c r="M42" s="2"/>
      <c r="N42" s="68"/>
      <c r="O42" s="68"/>
      <c r="P42" s="68"/>
      <c r="Q42" s="68"/>
      <c r="R42" s="68"/>
      <c r="S42" s="68"/>
      <c r="T42" s="68"/>
    </row>
    <row r="43" spans="1:20" hidden="1" x14ac:dyDescent="0.3">
      <c r="A43" s="57"/>
      <c r="B43" s="58"/>
      <c r="C43" s="59"/>
      <c r="D43" s="59"/>
      <c r="E43" s="11"/>
      <c r="I43" s="59"/>
      <c r="J43" s="59"/>
    </row>
    <row r="44" spans="1:20" hidden="1" x14ac:dyDescent="0.3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20" ht="12" hidden="1" customHeight="1" x14ac:dyDescent="0.3">
      <c r="A45" s="56"/>
      <c r="B45" s="7"/>
      <c r="C45" s="10"/>
      <c r="D45" s="10"/>
      <c r="E45" s="8"/>
      <c r="I45" s="7"/>
      <c r="J45" s="7"/>
    </row>
    <row r="46" spans="1:20" ht="12" hidden="1" customHeight="1" x14ac:dyDescent="0.3">
      <c r="A46" s="55"/>
      <c r="B46" s="5"/>
      <c r="C46" s="9"/>
      <c r="D46" s="9"/>
      <c r="E46" s="6"/>
      <c r="I46" s="5"/>
      <c r="J46" s="5"/>
    </row>
    <row r="47" spans="1:20" ht="12" hidden="1" customHeight="1" x14ac:dyDescent="0.3">
      <c r="A47" s="56"/>
      <c r="B47" s="7"/>
      <c r="C47" s="10"/>
      <c r="D47" s="10"/>
      <c r="E47" s="8"/>
      <c r="I47" s="7"/>
      <c r="J47" s="7"/>
    </row>
    <row r="48" spans="1:20" hidden="1" x14ac:dyDescent="0.3">
      <c r="A48" s="57"/>
      <c r="B48" s="58"/>
      <c r="C48" s="59"/>
      <c r="D48" s="59"/>
      <c r="E48" s="11"/>
      <c r="I48" s="59"/>
      <c r="J48" s="59"/>
    </row>
    <row r="49" spans="1:9" ht="10.95" hidden="1" customHeight="1" x14ac:dyDescent="0.3">
      <c r="A49" s="76"/>
      <c r="B49" s="77"/>
      <c r="C49" s="77"/>
      <c r="D49" s="77"/>
      <c r="E49" s="77"/>
      <c r="F49" s="77"/>
      <c r="G49" s="77"/>
      <c r="H49" s="77"/>
      <c r="I49" s="77"/>
    </row>
    <row r="50" spans="1:9" ht="9" hidden="1" customHeight="1" x14ac:dyDescent="0.3">
      <c r="A50" s="78"/>
      <c r="B50" s="77"/>
      <c r="C50" s="77"/>
      <c r="D50" s="77"/>
      <c r="E50" s="77"/>
      <c r="F50" s="77"/>
      <c r="G50" s="77"/>
      <c r="H50" s="77"/>
      <c r="I50" s="77"/>
    </row>
    <row r="51" spans="1:9" hidden="1" x14ac:dyDescent="0.3"/>
    <row r="52" spans="1:9" hidden="1" x14ac:dyDescent="0.3"/>
    <row r="53" spans="1:9" hidden="1" x14ac:dyDescent="0.3"/>
    <row r="54" spans="1:9" hidden="1" x14ac:dyDescent="0.3"/>
    <row r="55" spans="1:9" hidden="1" x14ac:dyDescent="0.3"/>
    <row r="56" spans="1:9" hidden="1" x14ac:dyDescent="0.3"/>
    <row r="57" spans="1:9" hidden="1" x14ac:dyDescent="0.3"/>
    <row r="58" spans="1:9" hidden="1" x14ac:dyDescent="0.3"/>
    <row r="59" spans="1:9" hidden="1" x14ac:dyDescent="0.3"/>
    <row r="60" spans="1:9" hidden="1" x14ac:dyDescent="0.3"/>
    <row r="61" spans="1:9" hidden="1" x14ac:dyDescent="0.3"/>
    <row r="62" spans="1:9" hidden="1" x14ac:dyDescent="0.3"/>
    <row r="63" spans="1:9" hidden="1" x14ac:dyDescent="0.3"/>
    <row r="64" spans="1:9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</sheetData>
  <sheetProtection algorithmName="SHA-512" hashValue="7SIBzUzl9HeeX0JGpAnxoa0rR27il5MBWkv0td7ThvLEKRobtWBtlG2CkXL8cP+uIR7HOuS8H9+jkTjAaxm5DA==" saltValue="Qzc4YpHnp0y9AnQHk/kO6Q==" spinCount="100000" sheet="1" objects="1" scenarios="1" selectLockedCells="1"/>
  <mergeCells count="13">
    <mergeCell ref="A8:C8"/>
    <mergeCell ref="A9:C9"/>
    <mergeCell ref="F8:H8"/>
    <mergeCell ref="F9:H9"/>
    <mergeCell ref="F10:H10"/>
    <mergeCell ref="A10:C10"/>
    <mergeCell ref="A15:J15"/>
    <mergeCell ref="A19:J19"/>
    <mergeCell ref="A44:J44"/>
    <mergeCell ref="A23:J23"/>
    <mergeCell ref="A35:J35"/>
    <mergeCell ref="A27:J27"/>
    <mergeCell ref="A31:J31"/>
  </mergeCells>
  <phoneticPr fontId="1" type="noConversion"/>
  <dataValidations count="6"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</dataValidations>
  <pageMargins left="0.4861111111111111" right="0.47222222222222221" top="1.0555555555555556" bottom="0.69444444444444442" header="0.4861111111111111" footer="0.3"/>
  <pageSetup paperSize="9" orientation="portrait" horizontalDpi="4294967292" verticalDpi="4294967292" r:id="rId1"/>
  <headerFooter>
    <oddHeader>&amp;L&amp;G&amp;C&amp;16&amp;K00-041BRISE AUSLEGUNG
2-Leiter Heizen und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workbookViewId="0">
      <selection activeCell="D30" sqref="D30"/>
    </sheetView>
  </sheetViews>
  <sheetFormatPr baseColWidth="10" defaultColWidth="0" defaultRowHeight="15.6" zeroHeight="1" x14ac:dyDescent="0.3"/>
  <cols>
    <col min="1" max="2" width="6.69921875" style="2" customWidth="1"/>
    <col min="3" max="3" width="6.19921875" style="2" customWidth="1"/>
    <col min="4" max="4" width="6.5" style="2" customWidth="1"/>
    <col min="5" max="5" width="3.19921875" style="2" customWidth="1"/>
    <col min="6" max="6" width="6.69921875" style="2" customWidth="1"/>
    <col min="7" max="7" width="7" style="2" customWidth="1"/>
    <col min="8" max="8" width="3.69921875" style="2" customWidth="1"/>
    <col min="9" max="9" width="6.69921875" style="2" customWidth="1"/>
    <col min="10" max="10" width="8.5" style="2" customWidth="1"/>
    <col min="11" max="11" width="3.69921875" style="2" customWidth="1"/>
    <col min="12" max="16384" width="11.19921875" style="2" hidden="1"/>
  </cols>
  <sheetData>
    <row r="1" spans="1:10" x14ac:dyDescent="0.3">
      <c r="A1" s="1"/>
      <c r="B1" s="1"/>
      <c r="C1" s="1"/>
      <c r="D1" s="1"/>
      <c r="E1" s="1"/>
      <c r="F1" s="1"/>
      <c r="G1" s="1"/>
      <c r="H1" s="1"/>
    </row>
    <row r="2" spans="1:10" x14ac:dyDescent="0.3">
      <c r="A2" s="53" t="s">
        <v>1</v>
      </c>
      <c r="B2" s="54"/>
      <c r="C2" s="1"/>
      <c r="D2" s="1"/>
      <c r="E2" s="1"/>
      <c r="F2" s="1"/>
      <c r="G2" s="1"/>
      <c r="H2" s="1"/>
      <c r="I2" s="1"/>
      <c r="J2" s="1"/>
    </row>
    <row r="3" spans="1:10" ht="7.05" customHeight="1" x14ac:dyDescent="0.3">
      <c r="A3" s="12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4.05" customHeight="1" x14ac:dyDescent="0.3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x14ac:dyDescent="0.3">
      <c r="A6" s="17" t="s">
        <v>2</v>
      </c>
      <c r="B6" s="3"/>
      <c r="C6" s="3"/>
      <c r="D6" s="3"/>
      <c r="E6" s="3"/>
      <c r="F6" s="3"/>
      <c r="G6" s="3"/>
      <c r="H6" s="3"/>
      <c r="I6" s="3"/>
      <c r="J6" s="18"/>
    </row>
    <row r="7" spans="1:10" x14ac:dyDescent="0.3">
      <c r="A7" s="17" t="s">
        <v>3</v>
      </c>
      <c r="B7" s="3"/>
      <c r="C7" s="3"/>
      <c r="D7" s="3"/>
      <c r="E7" s="3"/>
      <c r="F7" s="19" t="s">
        <v>7</v>
      </c>
      <c r="G7" s="19"/>
      <c r="H7" s="3"/>
      <c r="I7" s="3"/>
      <c r="J7" s="18"/>
    </row>
    <row r="8" spans="1:10" x14ac:dyDescent="0.3">
      <c r="A8" s="71" t="s">
        <v>4</v>
      </c>
      <c r="B8" s="69"/>
      <c r="C8" s="69"/>
      <c r="D8" s="4">
        <v>75</v>
      </c>
      <c r="E8" s="20"/>
      <c r="F8" s="69" t="s">
        <v>4</v>
      </c>
      <c r="G8" s="69"/>
      <c r="H8" s="69"/>
      <c r="I8" s="4">
        <v>7</v>
      </c>
      <c r="J8" s="18"/>
    </row>
    <row r="9" spans="1:10" x14ac:dyDescent="0.3">
      <c r="A9" s="71" t="s">
        <v>5</v>
      </c>
      <c r="B9" s="69"/>
      <c r="C9" s="69"/>
      <c r="D9" s="4">
        <v>65</v>
      </c>
      <c r="E9" s="20"/>
      <c r="F9" s="69" t="s">
        <v>5</v>
      </c>
      <c r="G9" s="69"/>
      <c r="H9" s="69"/>
      <c r="I9" s="4">
        <v>12</v>
      </c>
      <c r="J9" s="18"/>
    </row>
    <row r="10" spans="1:10" x14ac:dyDescent="0.3">
      <c r="A10" s="71" t="s">
        <v>6</v>
      </c>
      <c r="B10" s="69"/>
      <c r="C10" s="70"/>
      <c r="D10" s="4">
        <v>20</v>
      </c>
      <c r="E10" s="20"/>
      <c r="F10" s="69" t="s">
        <v>6</v>
      </c>
      <c r="G10" s="69"/>
      <c r="H10" s="70"/>
      <c r="I10" s="4">
        <v>25</v>
      </c>
      <c r="J10" s="18"/>
    </row>
    <row r="11" spans="1:10" ht="10.050000000000001" customHeight="1" x14ac:dyDescent="0.3">
      <c r="A11" s="21"/>
      <c r="B11" s="3"/>
      <c r="C11" s="3"/>
      <c r="D11" s="3"/>
      <c r="E11" s="3"/>
      <c r="F11" s="3"/>
      <c r="G11" s="3"/>
      <c r="H11" s="3"/>
      <c r="I11" s="3"/>
      <c r="J11" s="18"/>
    </row>
    <row r="12" spans="1:10" ht="3" customHeight="1" x14ac:dyDescent="0.3">
      <c r="A12" s="22"/>
      <c r="B12" s="23"/>
      <c r="C12" s="23"/>
      <c r="D12" s="23"/>
      <c r="E12" s="24"/>
      <c r="F12" s="24"/>
      <c r="G12" s="24"/>
      <c r="H12" s="24"/>
      <c r="I12" s="24"/>
      <c r="J12" s="25"/>
    </row>
    <row r="13" spans="1:10" ht="10.95" customHeigh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94.95" customHeight="1" x14ac:dyDescent="0.3">
      <c r="A14" s="27" t="s">
        <v>8</v>
      </c>
      <c r="B14" s="28"/>
      <c r="C14" s="27" t="str">
        <f>CONCATENATE("Wärmeleistung ",D8,"/",D9,"/",D10," [kW]")</f>
        <v>Wärmeleistung 75/65/20 [kW]</v>
      </c>
      <c r="D14" s="29"/>
      <c r="E14" s="30"/>
      <c r="F14" s="28" t="str">
        <f>CONCATENATE("Tot. Kälteleistung ",I8,"/",I9,"/",I10," [kW]")</f>
        <v>Tot. Kälteleistung 7/12/25 [kW]</v>
      </c>
      <c r="G14" s="28"/>
      <c r="H14" s="30"/>
      <c r="I14" s="27" t="s">
        <v>9</v>
      </c>
      <c r="J14" s="29" t="s">
        <v>14</v>
      </c>
    </row>
    <row r="15" spans="1:10" x14ac:dyDescent="0.3">
      <c r="A15" s="72" t="s">
        <v>15</v>
      </c>
      <c r="B15" s="73"/>
      <c r="C15" s="72"/>
      <c r="D15" s="74"/>
      <c r="E15" s="73"/>
      <c r="F15" s="73"/>
      <c r="G15" s="73"/>
      <c r="H15" s="73"/>
      <c r="I15" s="72"/>
      <c r="J15" s="74"/>
    </row>
    <row r="16" spans="1:10" ht="12" customHeight="1" x14ac:dyDescent="0.3">
      <c r="A16" s="31" t="s">
        <v>10</v>
      </c>
      <c r="B16" s="32"/>
      <c r="C16" s="60">
        <f>1.57*(($D$8+$D$9)/2-$D$10)/50</f>
        <v>1.57</v>
      </c>
      <c r="D16" s="33"/>
      <c r="E16" s="34"/>
      <c r="F16" s="34">
        <f>1.24*($I$10-(($I$8+$I$9)/2))/15.5</f>
        <v>1.24</v>
      </c>
      <c r="G16" s="34"/>
      <c r="H16" s="34"/>
      <c r="I16" s="35">
        <v>29</v>
      </c>
      <c r="J16" s="36">
        <v>220</v>
      </c>
    </row>
    <row r="17" spans="1:10" ht="12" customHeight="1" x14ac:dyDescent="0.3">
      <c r="A17" s="37" t="s">
        <v>11</v>
      </c>
      <c r="B17" s="38"/>
      <c r="C17" s="79">
        <f>1.86*(($D$8+$D$9)/2-$D$10)/50</f>
        <v>1.86</v>
      </c>
      <c r="D17" s="39"/>
      <c r="E17" s="40"/>
      <c r="F17" s="40">
        <f>1.47*($I$10-(($I$8+$I$9)/2))/15.5</f>
        <v>1.47</v>
      </c>
      <c r="G17" s="40"/>
      <c r="H17" s="40"/>
      <c r="I17" s="42">
        <v>35</v>
      </c>
      <c r="J17" s="43">
        <v>295</v>
      </c>
    </row>
    <row r="18" spans="1:10" ht="12" customHeight="1" x14ac:dyDescent="0.3">
      <c r="A18" s="44" t="s">
        <v>12</v>
      </c>
      <c r="B18" s="45"/>
      <c r="C18" s="60">
        <f>2.07*(($D$8+$D$9)/2-$D$10)/50</f>
        <v>2.0699999999999998</v>
      </c>
      <c r="D18" s="46"/>
      <c r="E18" s="47"/>
      <c r="F18" s="47">
        <f>1.63*($I$10-(($I$8+$I$9)/2))/15.5</f>
        <v>1.63</v>
      </c>
      <c r="G18" s="47"/>
      <c r="H18" s="47"/>
      <c r="I18" s="49">
        <v>41</v>
      </c>
      <c r="J18" s="50">
        <v>380</v>
      </c>
    </row>
    <row r="19" spans="1:10" x14ac:dyDescent="0.3">
      <c r="A19" s="72" t="s">
        <v>16</v>
      </c>
      <c r="B19" s="73"/>
      <c r="C19" s="72"/>
      <c r="D19" s="74"/>
      <c r="E19" s="73"/>
      <c r="F19" s="73"/>
      <c r="G19" s="73"/>
      <c r="H19" s="73"/>
      <c r="I19" s="72"/>
      <c r="J19" s="74"/>
    </row>
    <row r="20" spans="1:10" ht="13.05" customHeight="1" x14ac:dyDescent="0.3">
      <c r="A20" s="44" t="s">
        <v>10</v>
      </c>
      <c r="B20" s="45"/>
      <c r="C20" s="60">
        <f>2.17*(($D$8+$D$9)/2-$D$10)/50</f>
        <v>2.17</v>
      </c>
      <c r="D20" s="46"/>
      <c r="E20" s="47"/>
      <c r="F20" s="34">
        <f>1.73*($I$10-(($I$8+$I$9)/2))/15.5</f>
        <v>1.73</v>
      </c>
      <c r="G20" s="34"/>
      <c r="H20" s="47"/>
      <c r="I20" s="49">
        <v>29</v>
      </c>
      <c r="J20" s="50">
        <v>290</v>
      </c>
    </row>
    <row r="21" spans="1:10" ht="13.05" customHeight="1" x14ac:dyDescent="0.3">
      <c r="A21" s="37" t="s">
        <v>11</v>
      </c>
      <c r="B21" s="38"/>
      <c r="C21" s="79">
        <f>2.57*(($D$8+$D$9)/2-$D$10)/50</f>
        <v>2.57</v>
      </c>
      <c r="D21" s="39"/>
      <c r="E21" s="40"/>
      <c r="F21" s="40">
        <f>2.05*($I$10-(($I$8+$I$9)/2))/15.5</f>
        <v>2.0499999999999998</v>
      </c>
      <c r="G21" s="40"/>
      <c r="H21" s="40"/>
      <c r="I21" s="42">
        <v>35</v>
      </c>
      <c r="J21" s="43">
        <v>390</v>
      </c>
    </row>
    <row r="22" spans="1:10" ht="13.05" customHeight="1" x14ac:dyDescent="0.3">
      <c r="A22" s="44" t="s">
        <v>12</v>
      </c>
      <c r="B22" s="45"/>
      <c r="C22" s="60">
        <f>2.85*(($D$8+$D$9)/2-$D$10)/50</f>
        <v>2.85</v>
      </c>
      <c r="D22" s="46"/>
      <c r="E22" s="47"/>
      <c r="F22" s="47">
        <f>2.28*($I$10-(($I$8+$I$9)/2))/15.5</f>
        <v>2.2799999999999998</v>
      </c>
      <c r="G22" s="47"/>
      <c r="H22" s="47"/>
      <c r="I22" s="49">
        <v>41</v>
      </c>
      <c r="J22" s="50">
        <v>500</v>
      </c>
    </row>
    <row r="23" spans="1:10" x14ac:dyDescent="0.3">
      <c r="A23" s="72" t="s">
        <v>17</v>
      </c>
      <c r="B23" s="73"/>
      <c r="C23" s="72"/>
      <c r="D23" s="74"/>
      <c r="E23" s="73"/>
      <c r="F23" s="73"/>
      <c r="G23" s="73"/>
      <c r="H23" s="73"/>
      <c r="I23" s="72"/>
      <c r="J23" s="74"/>
    </row>
    <row r="24" spans="1:10" ht="13.05" customHeight="1" x14ac:dyDescent="0.3">
      <c r="A24" s="44" t="s">
        <v>10</v>
      </c>
      <c r="B24" s="45"/>
      <c r="C24" s="60">
        <f>2.92*(($D$8+$D$9)/2-$D$10)/50</f>
        <v>2.92</v>
      </c>
      <c r="D24" s="46"/>
      <c r="E24" s="47"/>
      <c r="F24" s="34">
        <f>2.56*($I$10-(($I$8+$I$9)/2))/15.5</f>
        <v>2.56</v>
      </c>
      <c r="G24" s="48"/>
      <c r="H24" s="47"/>
      <c r="I24" s="49">
        <v>30</v>
      </c>
      <c r="J24" s="50">
        <v>410</v>
      </c>
    </row>
    <row r="25" spans="1:10" ht="13.05" customHeight="1" x14ac:dyDescent="0.3">
      <c r="A25" s="37" t="s">
        <v>11</v>
      </c>
      <c r="B25" s="38"/>
      <c r="C25" s="79">
        <f>3.45*(($D$8+$D$9)/2-$D$10)/50</f>
        <v>3.45</v>
      </c>
      <c r="D25" s="39"/>
      <c r="E25" s="40"/>
      <c r="F25" s="40">
        <f>3.03*($I$10-(($I$8+$I$9)/2))/15.5</f>
        <v>3.03</v>
      </c>
      <c r="G25" s="41"/>
      <c r="H25" s="40"/>
      <c r="I25" s="42">
        <v>36</v>
      </c>
      <c r="J25" s="43">
        <v>545</v>
      </c>
    </row>
    <row r="26" spans="1:10" ht="13.05" customHeight="1" x14ac:dyDescent="0.3">
      <c r="A26" s="44" t="s">
        <v>12</v>
      </c>
      <c r="B26" s="45"/>
      <c r="C26" s="60">
        <f>3.83*(($D$8+$D$9)/2-$D$10)/50</f>
        <v>3.83</v>
      </c>
      <c r="D26" s="46"/>
      <c r="E26" s="47"/>
      <c r="F26" s="47">
        <f>3.37*($I$10-(($I$8+$I$9)/2))/15.5</f>
        <v>3.37</v>
      </c>
      <c r="G26" s="48"/>
      <c r="H26" s="47"/>
      <c r="I26" s="49">
        <v>44</v>
      </c>
      <c r="J26" s="50">
        <v>700</v>
      </c>
    </row>
    <row r="27" spans="1:10" ht="13.95" customHeight="1" x14ac:dyDescent="0.3">
      <c r="A27" s="72" t="s">
        <v>18</v>
      </c>
      <c r="B27" s="73"/>
      <c r="C27" s="72"/>
      <c r="D27" s="74"/>
      <c r="E27" s="73"/>
      <c r="F27" s="73"/>
      <c r="G27" s="73"/>
      <c r="H27" s="73"/>
      <c r="I27" s="72"/>
      <c r="J27" s="74"/>
    </row>
    <row r="28" spans="1:10" ht="12" customHeight="1" x14ac:dyDescent="0.3">
      <c r="A28" s="44" t="s">
        <v>10</v>
      </c>
      <c r="B28" s="45"/>
      <c r="C28" s="60">
        <f>4.28*(($D$8+$D$9)/2-$D$10)/50</f>
        <v>4.28</v>
      </c>
      <c r="D28" s="46"/>
      <c r="E28" s="47"/>
      <c r="F28" s="34">
        <f>3.71*($I$10-(($I$8+$I$9)/2))/15.5</f>
        <v>3.71</v>
      </c>
      <c r="G28" s="48"/>
      <c r="H28" s="47"/>
      <c r="I28" s="49">
        <v>31</v>
      </c>
      <c r="J28" s="50">
        <v>510</v>
      </c>
    </row>
    <row r="29" spans="1:10" ht="12" customHeight="1" x14ac:dyDescent="0.3">
      <c r="A29" s="37" t="s">
        <v>11</v>
      </c>
      <c r="B29" s="38"/>
      <c r="C29" s="79">
        <f>5.06*(($D$8+$D$9)/2-$D$10)/50</f>
        <v>5.0599999999999996</v>
      </c>
      <c r="D29" s="39"/>
      <c r="E29" s="40"/>
      <c r="F29" s="40">
        <f>4.39*($I$10-(($I$8+$I$9)/2))/15.5</f>
        <v>4.3899999999999997</v>
      </c>
      <c r="G29" s="41"/>
      <c r="H29" s="40"/>
      <c r="I29" s="42">
        <v>37</v>
      </c>
      <c r="J29" s="43">
        <v>690</v>
      </c>
    </row>
    <row r="30" spans="1:10" ht="12" customHeight="1" x14ac:dyDescent="0.3">
      <c r="A30" s="44" t="s">
        <v>12</v>
      </c>
      <c r="B30" s="45"/>
      <c r="C30" s="60">
        <f>5.63*(($D$8+$D$9)/2-$D$10)/50</f>
        <v>5.63</v>
      </c>
      <c r="D30" s="46"/>
      <c r="E30" s="47"/>
      <c r="F30" s="47">
        <f>4.88*($I$10-(($I$8+$I$9)/2))/15.5</f>
        <v>4.88</v>
      </c>
      <c r="G30" s="48"/>
      <c r="H30" s="47"/>
      <c r="I30" s="49">
        <v>50</v>
      </c>
      <c r="J30" s="50">
        <v>880</v>
      </c>
    </row>
    <row r="31" spans="1:10" x14ac:dyDescent="0.3">
      <c r="A31" s="72" t="s">
        <v>19</v>
      </c>
      <c r="B31" s="73"/>
      <c r="C31" s="72"/>
      <c r="D31" s="74"/>
      <c r="E31" s="73"/>
      <c r="F31" s="73"/>
      <c r="G31" s="73"/>
      <c r="H31" s="73"/>
      <c r="I31" s="72"/>
      <c r="J31" s="74"/>
    </row>
    <row r="32" spans="1:10" ht="12" customHeight="1" x14ac:dyDescent="0.3">
      <c r="A32" s="44" t="s">
        <v>10</v>
      </c>
      <c r="B32" s="45"/>
      <c r="C32" s="60">
        <f>7.01*(($D$8+$D$9)/2-$D$10)/50</f>
        <v>7.01</v>
      </c>
      <c r="D32" s="46"/>
      <c r="E32" s="47"/>
      <c r="F32" s="34">
        <f>6.1*($I$10-(($I$8+$I$9)/2))/15.5</f>
        <v>6.1</v>
      </c>
      <c r="G32" s="48"/>
      <c r="H32" s="47"/>
      <c r="I32" s="49">
        <v>43</v>
      </c>
      <c r="J32" s="50">
        <v>720</v>
      </c>
    </row>
    <row r="33" spans="1:19" ht="12" customHeight="1" x14ac:dyDescent="0.3">
      <c r="A33" s="37" t="s">
        <v>11</v>
      </c>
      <c r="B33" s="38"/>
      <c r="C33" s="79">
        <f>7.71*(($D$8+$D$9)/2-$D$10)/50</f>
        <v>7.71</v>
      </c>
      <c r="D33" s="39"/>
      <c r="E33" s="40"/>
      <c r="F33" s="40">
        <f>7.22*($I$10-(($I$8+$I$9)/2))/15.5</f>
        <v>7.22</v>
      </c>
      <c r="G33" s="41"/>
      <c r="H33" s="40"/>
      <c r="I33" s="42">
        <v>37</v>
      </c>
      <c r="J33" s="43">
        <v>1050</v>
      </c>
    </row>
    <row r="34" spans="1:19" ht="12" customHeight="1" x14ac:dyDescent="0.3">
      <c r="A34" s="44" t="s">
        <v>12</v>
      </c>
      <c r="B34" s="45"/>
      <c r="C34" s="60">
        <f>9.22*(($D$8+$D$9)/2-$D$10)/50</f>
        <v>9.2200000000000006</v>
      </c>
      <c r="D34" s="46"/>
      <c r="E34" s="47"/>
      <c r="F34" s="47">
        <f>8.02*($I$10-(($I$8+$I$9)/2))/15.5</f>
        <v>8.02</v>
      </c>
      <c r="G34" s="48"/>
      <c r="H34" s="47"/>
      <c r="I34" s="49">
        <v>50</v>
      </c>
      <c r="J34" s="50">
        <v>1350</v>
      </c>
    </row>
    <row r="35" spans="1:19" x14ac:dyDescent="0.3">
      <c r="A35" s="72" t="s">
        <v>20</v>
      </c>
      <c r="B35" s="73"/>
      <c r="C35" s="72"/>
      <c r="D35" s="74"/>
      <c r="E35" s="73"/>
      <c r="F35" s="73"/>
      <c r="G35" s="73"/>
      <c r="H35" s="73"/>
      <c r="I35" s="72"/>
      <c r="J35" s="74"/>
    </row>
    <row r="36" spans="1:19" ht="12" customHeight="1" x14ac:dyDescent="0.3">
      <c r="A36" s="44" t="s">
        <v>10</v>
      </c>
      <c r="B36" s="45"/>
      <c r="C36" s="60">
        <f>8.09*(($D$8+$D$9)/2-$D$10)/50</f>
        <v>8.09</v>
      </c>
      <c r="D36" s="46"/>
      <c r="E36" s="47"/>
      <c r="F36" s="34">
        <f>7.4*($I$10-(($I$8+$I$9)/2))/15.5</f>
        <v>7.4</v>
      </c>
      <c r="G36" s="48"/>
      <c r="H36" s="47"/>
      <c r="I36" s="49">
        <v>37</v>
      </c>
      <c r="J36" s="50">
        <v>955</v>
      </c>
    </row>
    <row r="37" spans="1:19" ht="12" customHeight="1" x14ac:dyDescent="0.3">
      <c r="A37" s="37" t="s">
        <v>11</v>
      </c>
      <c r="B37" s="38"/>
      <c r="C37" s="79">
        <f>9.58*(($D$8+$D$9)/2-$D$10)/50</f>
        <v>9.58</v>
      </c>
      <c r="D37" s="39"/>
      <c r="E37" s="40"/>
      <c r="F37" s="40">
        <f>8.79*($I$10-(($I$8+$I$9)/2))/15.5</f>
        <v>8.7899999999999991</v>
      </c>
      <c r="G37" s="41"/>
      <c r="H37" s="40"/>
      <c r="I37" s="42">
        <v>43</v>
      </c>
      <c r="J37" s="43">
        <v>1325</v>
      </c>
    </row>
    <row r="38" spans="1:19" ht="12" customHeight="1" x14ac:dyDescent="0.3">
      <c r="A38" s="61" t="s">
        <v>12</v>
      </c>
      <c r="B38" s="63"/>
      <c r="C38" s="64">
        <f>10.65*(($D$8+$D$9)/2-$D$10)/50</f>
        <v>10.65</v>
      </c>
      <c r="D38" s="63"/>
      <c r="E38" s="64"/>
      <c r="F38" s="62">
        <f>9.97*($I$10-(($I$8+$I$9)/2))/15.5</f>
        <v>9.9700000000000006</v>
      </c>
      <c r="G38" s="65"/>
      <c r="H38" s="64"/>
      <c r="I38" s="66">
        <v>53</v>
      </c>
      <c r="J38" s="67">
        <v>1700</v>
      </c>
    </row>
    <row r="39" spans="1:19" ht="9" customHeight="1" x14ac:dyDescent="0.3">
      <c r="A39" s="51" t="s">
        <v>13</v>
      </c>
      <c r="B39" s="1"/>
      <c r="C39" s="1"/>
      <c r="D39" s="1"/>
      <c r="E39" s="1"/>
      <c r="F39" s="1"/>
      <c r="G39" s="1"/>
      <c r="H39" s="1"/>
      <c r="I39" s="1"/>
      <c r="J39" s="1"/>
    </row>
    <row r="40" spans="1:19" ht="12" customHeight="1" x14ac:dyDescent="0.3">
      <c r="A40" s="52"/>
      <c r="B40" s="1"/>
      <c r="C40" s="1"/>
      <c r="D40" s="1"/>
      <c r="E40" s="1"/>
      <c r="F40" s="1"/>
      <c r="G40" s="1"/>
      <c r="H40" s="1"/>
      <c r="I40" s="1"/>
      <c r="J40" s="1"/>
    </row>
    <row r="41" spans="1:19" ht="12" hidden="1" customHeight="1" x14ac:dyDescent="0.3">
      <c r="A41" s="55"/>
      <c r="B41" s="5"/>
      <c r="C41" s="9"/>
      <c r="D41" s="9"/>
      <c r="E41" s="6"/>
      <c r="F41" s="1"/>
      <c r="G41" s="1"/>
      <c r="H41" s="1"/>
      <c r="I41" s="5"/>
      <c r="J41" s="5"/>
    </row>
    <row r="42" spans="1:19" ht="12" hidden="1" customHeight="1" x14ac:dyDescent="0.3">
      <c r="A42" s="56"/>
      <c r="B42" s="7"/>
      <c r="C42" s="10"/>
      <c r="D42" s="10"/>
      <c r="E42" s="8"/>
      <c r="F42" s="1"/>
      <c r="G42" s="1"/>
      <c r="H42" s="1"/>
      <c r="I42" s="7"/>
      <c r="J42" s="7"/>
    </row>
    <row r="43" spans="1:19" hidden="1" x14ac:dyDescent="0.3">
      <c r="A43" s="57"/>
      <c r="B43" s="58"/>
      <c r="C43" s="59"/>
      <c r="D43" s="59"/>
      <c r="E43" s="11"/>
      <c r="F43" s="1"/>
      <c r="G43" s="1"/>
      <c r="H43" s="1"/>
      <c r="I43" s="59"/>
      <c r="J43" s="59"/>
      <c r="K43" s="1"/>
      <c r="L43" s="1"/>
      <c r="M43" s="1"/>
      <c r="N43" s="1"/>
      <c r="O43" s="1"/>
      <c r="P43" s="1"/>
      <c r="Q43" s="1"/>
      <c r="R43" s="1"/>
      <c r="S43" s="1"/>
    </row>
    <row r="44" spans="1:19" hidden="1" x14ac:dyDescent="0.3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1"/>
      <c r="L44" s="1"/>
      <c r="M44" s="1"/>
      <c r="N44" s="1"/>
      <c r="O44" s="1"/>
      <c r="P44" s="1"/>
      <c r="Q44" s="1"/>
      <c r="R44" s="1"/>
      <c r="S44" s="1"/>
    </row>
    <row r="45" spans="1:19" ht="12" hidden="1" customHeight="1" x14ac:dyDescent="0.3">
      <c r="A45" s="56"/>
      <c r="B45" s="7"/>
      <c r="C45" s="10"/>
      <c r="D45" s="10"/>
      <c r="E45" s="8"/>
      <c r="F45" s="1"/>
      <c r="G45" s="1"/>
      <c r="H45" s="1"/>
      <c r="I45" s="7"/>
      <c r="J45" s="7"/>
      <c r="K45" s="1"/>
      <c r="L45" s="1"/>
      <c r="M45" s="1"/>
      <c r="N45" s="1"/>
      <c r="O45" s="1"/>
      <c r="P45" s="1"/>
      <c r="Q45" s="1"/>
      <c r="R45" s="1"/>
      <c r="S45" s="1"/>
    </row>
    <row r="46" spans="1:19" ht="12" hidden="1" customHeight="1" x14ac:dyDescent="0.3">
      <c r="A46" s="55"/>
      <c r="B46" s="5"/>
      <c r="C46" s="9"/>
      <c r="D46" s="9"/>
      <c r="E46" s="6"/>
      <c r="F46" s="1"/>
      <c r="G46" s="1"/>
      <c r="H46" s="1"/>
      <c r="I46" s="5"/>
      <c r="J46" s="5"/>
      <c r="K46" s="1"/>
      <c r="L46" s="1"/>
      <c r="M46" s="1"/>
      <c r="N46" s="1"/>
      <c r="O46" s="1"/>
      <c r="P46" s="1"/>
      <c r="Q46" s="1"/>
      <c r="R46" s="1"/>
      <c r="S46" s="1"/>
    </row>
    <row r="47" spans="1:19" ht="12" hidden="1" customHeight="1" x14ac:dyDescent="0.3">
      <c r="A47" s="56"/>
      <c r="B47" s="7"/>
      <c r="C47" s="10"/>
      <c r="D47" s="10"/>
      <c r="E47" s="8"/>
      <c r="F47" s="1"/>
      <c r="G47" s="1"/>
      <c r="H47" s="1"/>
      <c r="I47" s="7"/>
      <c r="J47" s="7"/>
      <c r="K47" s="1"/>
      <c r="L47" s="1"/>
      <c r="M47" s="1"/>
      <c r="N47" s="1"/>
      <c r="O47" s="1"/>
      <c r="P47" s="1"/>
      <c r="Q47" s="1"/>
      <c r="R47" s="1"/>
      <c r="S47" s="1"/>
    </row>
    <row r="48" spans="1:19" hidden="1" x14ac:dyDescent="0.3">
      <c r="A48" s="57"/>
      <c r="B48" s="58"/>
      <c r="C48" s="59"/>
      <c r="D48" s="59"/>
      <c r="E48" s="11"/>
      <c r="F48" s="1"/>
      <c r="G48" s="1"/>
      <c r="H48" s="1"/>
      <c r="I48" s="59"/>
      <c r="J48" s="59"/>
      <c r="K48" s="1"/>
      <c r="L48" s="1"/>
      <c r="M48" s="1"/>
      <c r="N48" s="1"/>
      <c r="O48" s="1"/>
      <c r="P48" s="1"/>
      <c r="Q48" s="1"/>
      <c r="R48" s="1"/>
      <c r="S48" s="1"/>
    </row>
    <row r="49" spans="1:19" ht="10.95" hidden="1" customHeight="1" x14ac:dyDescent="0.3">
      <c r="A49" s="76"/>
      <c r="B49" s="77"/>
      <c r="C49" s="77"/>
      <c r="D49" s="77"/>
      <c r="E49" s="77"/>
      <c r="F49" s="77"/>
      <c r="G49" s="77"/>
      <c r="H49" s="77"/>
      <c r="I49" s="77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9" hidden="1" customHeight="1" x14ac:dyDescent="0.3">
      <c r="A50" s="78"/>
      <c r="B50" s="77"/>
      <c r="C50" s="77"/>
      <c r="D50" s="77"/>
      <c r="E50" s="77"/>
      <c r="F50" s="77"/>
      <c r="G50" s="77"/>
      <c r="H50" s="77"/>
      <c r="I50" s="77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idden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idden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idden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idden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idden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idden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idden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idden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idden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idden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idden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idden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idden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idden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idden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idden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idden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idden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idden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idden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idden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idden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idden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idden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idden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idden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idden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idden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idden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</sheetData>
  <sheetProtection algorithmName="SHA-512" hashValue="9+QdnLdI0AshVehEpoYHk6JkGE0Z57mIf2/MTZG9bJUjL+idVxAyExzbcxx/6CZN3xkdQtEdGJithS7uEkdE5g==" saltValue="pL3raGt4R3DWJWjsWejkKw==" spinCount="100000" sheet="1" objects="1" scenarios="1" selectLockedCells="1"/>
  <mergeCells count="13">
    <mergeCell ref="A44:J44"/>
    <mergeCell ref="A15:J15"/>
    <mergeCell ref="A19:J19"/>
    <mergeCell ref="A23:J23"/>
    <mergeCell ref="A27:J27"/>
    <mergeCell ref="A31:J31"/>
    <mergeCell ref="A35:J35"/>
    <mergeCell ref="A8:C8"/>
    <mergeCell ref="F8:H8"/>
    <mergeCell ref="A9:C9"/>
    <mergeCell ref="F9:H9"/>
    <mergeCell ref="A10:C10"/>
    <mergeCell ref="F10:H10"/>
  </mergeCells>
  <dataValidations disablePrompts="1" count="6">
    <dataValidation type="whole" errorStyle="information" allowBlank="1" showErrorMessage="1" error="Eingabe außerhalb des gültigen Bereichs." prompt="Eingabe zwischen 5°C bis 20°C" sqref="I8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I9">
      <formula1>I8</formula1>
      <formula2>I10</formula2>
    </dataValidation>
    <dataValidation type="whole" errorStyle="information" allowBlank="1" showErrorMessage="1" error="Eingabe außerhalb des gültigen Bereichs." prompt="20°C bis 35°C" sqref="I10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>
      <formula1>30</formula1>
      <formula2>95</formula2>
    </dataValidation>
  </dataValidations>
  <pageMargins left="0.4861111111111111" right="0.47222222222222221" top="1.0555555555555556" bottom="0.69444444444444442" header="0.4861111111111111" footer="0.3"/>
  <pageSetup paperSize="9" orientation="portrait" horizontalDpi="4294967292" verticalDpi="4294967292" r:id="rId1"/>
  <headerFooter>
    <oddHeader>&amp;L&amp;G&amp;C&amp;16&amp;K00-040BRISE AUSLEGUNG
4-Leiter Heizen und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Brise 2-Leiter</vt:lpstr>
      <vt:lpstr>Brise 4-Leiter</vt:lpstr>
    </vt:vector>
  </TitlesOfParts>
  <Company>Jaga Deutschland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 Trinschek</dc:creator>
  <cp:lastModifiedBy>Patrick Thomas</cp:lastModifiedBy>
  <cp:lastPrinted>2016-06-22T12:26:04Z</cp:lastPrinted>
  <dcterms:created xsi:type="dcterms:W3CDTF">2016-06-22T10:17:04Z</dcterms:created>
  <dcterms:modified xsi:type="dcterms:W3CDTF">2017-03-01T08:37:51Z</dcterms:modified>
</cp:coreProperties>
</file>