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_Server-Sync\Sync\BERECHNUNGSPROGRAMME\neue Tools\temp\"/>
    </mc:Choice>
  </mc:AlternateContent>
  <workbookProtection workbookAlgorithmName="SHA-512" workbookHashValue="Q2oQ9IOhkK3QKZtEfkty5hUHrHRi+8SzHrz11RD7J1nAg57fI+esRUhPALuKbUD9cVa9EvbMEzynOAejTs3a4Q==" workbookSaltValue="lnn0v16y6ne/VesfYtu83g==" workbookSpinCount="100000" lockStructure="1"/>
  <bookViews>
    <workbookView xWindow="0" yWindow="0" windowWidth="23040" windowHeight="9396" activeTab="1"/>
  </bookViews>
  <sheets>
    <sheet name="Briza H38 Einbau (ohne Verkl.)" sheetId="3" r:id="rId1"/>
    <sheet name="Briza H52 Einbau (ohne Verkl.)" sheetId="8" r:id="rId2"/>
  </sheets>
  <definedNames>
    <definedName name="_xlnm.Print_Area" localSheetId="0">'Briza H38 Einbau (ohne Verkl.)'!$A$1:$M$41</definedName>
    <definedName name="_xlnm.Print_Area" localSheetId="1">'Briza H52 Einbau (ohne Verkl.)'!$A$1:$M$41</definedName>
    <definedName name="Systemauswahl" localSheetId="1">'Briza H52 Einbau (ohne Verkl.)'!$L$1:$L$2</definedName>
    <definedName name="Systemauswahl">'Briza H38 Einbau (ohne Verkl.)'!$L$1:$L$2</definedName>
  </definedNames>
  <calcPr calcId="152511" iterate="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1" i="3" l="1"/>
  <c r="L35" i="3"/>
  <c r="L36" i="3"/>
  <c r="L37" i="3"/>
  <c r="L38" i="3"/>
  <c r="L34" i="3"/>
  <c r="L29" i="3"/>
  <c r="L30" i="3"/>
  <c r="L31" i="3"/>
  <c r="L32" i="3"/>
  <c r="L28" i="3"/>
  <c r="L23" i="3"/>
  <c r="L24" i="3"/>
  <c r="L25" i="3"/>
  <c r="L26" i="3"/>
  <c r="L22" i="3"/>
  <c r="L17" i="3"/>
  <c r="L18" i="3"/>
  <c r="L19" i="3"/>
  <c r="L20" i="3"/>
  <c r="L16" i="3"/>
  <c r="R11" i="8"/>
  <c r="L35" i="8"/>
  <c r="L36" i="8"/>
  <c r="L37" i="8"/>
  <c r="L38" i="8"/>
  <c r="L34" i="8"/>
  <c r="L30" i="8"/>
  <c r="L31" i="8"/>
  <c r="L32" i="8"/>
  <c r="L29" i="8"/>
  <c r="L28" i="8"/>
  <c r="L23" i="8"/>
  <c r="L24" i="8"/>
  <c r="L25" i="8"/>
  <c r="L26" i="8"/>
  <c r="L22" i="8"/>
  <c r="L17" i="8"/>
  <c r="L18" i="8"/>
  <c r="L19" i="8"/>
  <c r="L20" i="8"/>
  <c r="L16" i="8"/>
  <c r="Q11" i="8"/>
  <c r="F32" i="8"/>
  <c r="G32" i="8"/>
  <c r="H32" i="8"/>
  <c r="F35" i="8"/>
  <c r="G35" i="8"/>
  <c r="H35" i="8"/>
  <c r="F36" i="8"/>
  <c r="G36" i="8"/>
  <c r="H36" i="8"/>
  <c r="F37" i="8"/>
  <c r="G37" i="8"/>
  <c r="H37" i="8"/>
  <c r="F38" i="8"/>
  <c r="G38" i="8"/>
  <c r="H38" i="8"/>
  <c r="F34" i="8"/>
  <c r="G34" i="8"/>
  <c r="H34" i="8"/>
  <c r="F29" i="8"/>
  <c r="G29" i="8"/>
  <c r="H29" i="8"/>
  <c r="F30" i="8"/>
  <c r="G30" i="8"/>
  <c r="H30" i="8"/>
  <c r="F31" i="8"/>
  <c r="G31" i="8"/>
  <c r="H31" i="8"/>
  <c r="F28" i="8"/>
  <c r="G28" i="8"/>
  <c r="H28" i="8"/>
  <c r="F23" i="8"/>
  <c r="G23" i="8"/>
  <c r="H23" i="8"/>
  <c r="F24" i="8"/>
  <c r="G24" i="8"/>
  <c r="H24" i="8"/>
  <c r="F25" i="8"/>
  <c r="G25" i="8"/>
  <c r="H25" i="8"/>
  <c r="F26" i="8"/>
  <c r="G26" i="8"/>
  <c r="H26" i="8"/>
  <c r="F22" i="8"/>
  <c r="G22" i="8"/>
  <c r="H22" i="8"/>
  <c r="F20" i="8"/>
  <c r="G20" i="8"/>
  <c r="H20" i="8"/>
  <c r="F17" i="8"/>
  <c r="G17" i="8"/>
  <c r="H17" i="8"/>
  <c r="F18" i="8"/>
  <c r="G18" i="8"/>
  <c r="H18" i="8"/>
  <c r="F19" i="8"/>
  <c r="G19" i="8"/>
  <c r="H19" i="8"/>
  <c r="F16" i="8"/>
  <c r="G16" i="8"/>
  <c r="H16" i="8"/>
  <c r="N11" i="8"/>
  <c r="C38" i="8"/>
  <c r="D38" i="8"/>
  <c r="E38" i="8"/>
  <c r="C35" i="8"/>
  <c r="D35" i="8"/>
  <c r="E35" i="8"/>
  <c r="C36" i="8"/>
  <c r="D36" i="8"/>
  <c r="E36" i="8"/>
  <c r="C37" i="8"/>
  <c r="D37" i="8"/>
  <c r="E37" i="8"/>
  <c r="C34" i="8"/>
  <c r="D34" i="8"/>
  <c r="E34" i="8"/>
  <c r="C29" i="8"/>
  <c r="D29" i="8"/>
  <c r="E29" i="8"/>
  <c r="C30" i="8"/>
  <c r="D30" i="8"/>
  <c r="E30" i="8"/>
  <c r="C31" i="8"/>
  <c r="D31" i="8"/>
  <c r="E31" i="8"/>
  <c r="C32" i="8"/>
  <c r="D32" i="8"/>
  <c r="E32" i="8"/>
  <c r="C28" i="8"/>
  <c r="D28" i="8"/>
  <c r="E28" i="8"/>
  <c r="C23" i="8"/>
  <c r="D23" i="8"/>
  <c r="E23" i="8"/>
  <c r="C24" i="8"/>
  <c r="D24" i="8"/>
  <c r="E24" i="8"/>
  <c r="C25" i="8"/>
  <c r="D25" i="8"/>
  <c r="E25" i="8"/>
  <c r="C26" i="8"/>
  <c r="D26" i="8"/>
  <c r="E26" i="8"/>
  <c r="C22" i="8"/>
  <c r="D22" i="8"/>
  <c r="E22" i="8"/>
  <c r="C16" i="8"/>
  <c r="D16" i="8"/>
  <c r="E16" i="8"/>
  <c r="C17" i="8"/>
  <c r="D17" i="8"/>
  <c r="E17" i="8"/>
  <c r="C18" i="8"/>
  <c r="D18" i="8"/>
  <c r="E18" i="8"/>
  <c r="C19" i="8"/>
  <c r="D19" i="8"/>
  <c r="E19" i="8"/>
  <c r="C20" i="8"/>
  <c r="D20" i="8"/>
  <c r="E20" i="8"/>
  <c r="J38" i="8"/>
  <c r="J37" i="8"/>
  <c r="J36" i="8"/>
  <c r="J35" i="8"/>
  <c r="J34" i="8"/>
  <c r="J32" i="8"/>
  <c r="J31" i="8"/>
  <c r="J30" i="8"/>
  <c r="J29" i="8"/>
  <c r="J28" i="8"/>
  <c r="J26" i="8"/>
  <c r="J25" i="8"/>
  <c r="J24" i="8"/>
  <c r="J23" i="8"/>
  <c r="J22" i="8"/>
  <c r="J20" i="8"/>
  <c r="J19" i="8"/>
  <c r="J18" i="8"/>
  <c r="J17" i="8"/>
  <c r="J16" i="8"/>
  <c r="F14" i="8"/>
  <c r="C14" i="8"/>
  <c r="Q11" i="3"/>
  <c r="F29" i="3"/>
  <c r="F30" i="3"/>
  <c r="F31" i="3"/>
  <c r="F32" i="3"/>
  <c r="F28" i="3"/>
  <c r="N11" i="3"/>
  <c r="C29" i="3"/>
  <c r="C30" i="3"/>
  <c r="C31" i="3"/>
  <c r="C32" i="3"/>
  <c r="C28" i="3"/>
  <c r="F38" i="3"/>
  <c r="F37" i="3"/>
  <c r="C38" i="3"/>
  <c r="C37" i="3"/>
  <c r="G31" i="3"/>
  <c r="H31" i="3"/>
  <c r="G32" i="3"/>
  <c r="H32" i="3"/>
  <c r="D31" i="3"/>
  <c r="E31" i="3"/>
  <c r="D32" i="3"/>
  <c r="E32" i="3"/>
  <c r="G37" i="3"/>
  <c r="H37" i="3"/>
  <c r="G38" i="3"/>
  <c r="H38" i="3"/>
  <c r="D37" i="3"/>
  <c r="E37" i="3"/>
  <c r="D38" i="3"/>
  <c r="E38" i="3"/>
  <c r="F35" i="3"/>
  <c r="F36" i="3"/>
  <c r="F34" i="3"/>
  <c r="C35" i="3"/>
  <c r="C36" i="3"/>
  <c r="C34" i="3"/>
  <c r="F23" i="3"/>
  <c r="F24" i="3"/>
  <c r="F25" i="3"/>
  <c r="F26" i="3"/>
  <c r="F22" i="3"/>
  <c r="C23" i="3"/>
  <c r="C24" i="3"/>
  <c r="C25" i="3"/>
  <c r="C26" i="3"/>
  <c r="C22" i="3"/>
  <c r="J25" i="3"/>
  <c r="J26" i="3"/>
  <c r="J37" i="3"/>
  <c r="J38" i="3"/>
  <c r="J31" i="3"/>
  <c r="J32" i="3"/>
  <c r="G23" i="3"/>
  <c r="H23" i="3"/>
  <c r="G24" i="3"/>
  <c r="H24" i="3"/>
  <c r="G25" i="3"/>
  <c r="H25" i="3"/>
  <c r="G26" i="3"/>
  <c r="H26" i="3"/>
  <c r="D23" i="3"/>
  <c r="E23" i="3"/>
  <c r="D24" i="3"/>
  <c r="E24" i="3"/>
  <c r="D25" i="3"/>
  <c r="E25" i="3"/>
  <c r="D26" i="3"/>
  <c r="E26" i="3"/>
  <c r="F17" i="3"/>
  <c r="F18" i="3"/>
  <c r="F19" i="3"/>
  <c r="F20" i="3"/>
  <c r="F16" i="3"/>
  <c r="C17" i="3"/>
  <c r="C18" i="3"/>
  <c r="C19" i="3"/>
  <c r="C20" i="3"/>
  <c r="C16" i="3"/>
  <c r="D19" i="3"/>
  <c r="E19" i="3"/>
  <c r="G19" i="3"/>
  <c r="H19" i="3"/>
  <c r="D20" i="3"/>
  <c r="E20" i="3"/>
  <c r="G20" i="3"/>
  <c r="H20" i="3"/>
  <c r="D17" i="3"/>
  <c r="E17" i="3"/>
  <c r="G17" i="3"/>
  <c r="H17" i="3"/>
  <c r="J17" i="3"/>
  <c r="D18" i="3"/>
  <c r="E18" i="3"/>
  <c r="G18" i="3"/>
  <c r="H18" i="3"/>
  <c r="J18" i="3"/>
  <c r="J19" i="3"/>
  <c r="J20" i="3"/>
  <c r="D16" i="3"/>
  <c r="G36" i="3"/>
  <c r="H36" i="3"/>
  <c r="G35" i="3"/>
  <c r="H35" i="3"/>
  <c r="G34" i="3"/>
  <c r="H34" i="3"/>
  <c r="D35" i="3"/>
  <c r="E35" i="3"/>
  <c r="D36" i="3"/>
  <c r="E36" i="3"/>
  <c r="D34" i="3"/>
  <c r="E34" i="3"/>
  <c r="G30" i="3"/>
  <c r="H30" i="3"/>
  <c r="G29" i="3"/>
  <c r="H29" i="3"/>
  <c r="G28" i="3"/>
  <c r="H28" i="3"/>
  <c r="D29" i="3"/>
  <c r="E29" i="3"/>
  <c r="D30" i="3"/>
  <c r="E30" i="3"/>
  <c r="D28" i="3"/>
  <c r="E28" i="3"/>
  <c r="G22" i="3"/>
  <c r="H22" i="3"/>
  <c r="D22" i="3"/>
  <c r="E22" i="3"/>
  <c r="J36" i="3"/>
  <c r="J35" i="3"/>
  <c r="J34" i="3"/>
  <c r="J30" i="3"/>
  <c r="J29" i="3"/>
  <c r="J28" i="3"/>
  <c r="J24" i="3"/>
  <c r="J23" i="3"/>
  <c r="J22" i="3"/>
  <c r="F14" i="3"/>
  <c r="J16" i="3"/>
  <c r="C14" i="3"/>
  <c r="G16" i="3"/>
  <c r="H16" i="3"/>
  <c r="E16" i="3"/>
</calcChain>
</file>

<file path=xl/sharedStrings.xml><?xml version="1.0" encoding="utf-8"?>
<sst xmlns="http://schemas.openxmlformats.org/spreadsheetml/2006/main" count="148" uniqueCount="50">
  <si>
    <t>Vorlauftemp. [°C]</t>
  </si>
  <si>
    <t>Raumtemp. [°C]</t>
  </si>
  <si>
    <t>Drehzahlstufe:</t>
  </si>
  <si>
    <t>Regelspannung: [V]</t>
  </si>
  <si>
    <t>Luftvolumenstrom [m³/h]</t>
  </si>
  <si>
    <t>Heizmittelstrom [l/h]</t>
  </si>
  <si>
    <t>Heizen:</t>
  </si>
  <si>
    <t>Kühlmittelstrom [l/h]</t>
  </si>
  <si>
    <t>Rücklauftemp. [°C]</t>
  </si>
  <si>
    <t>Eingabefelder</t>
  </si>
  <si>
    <t>Temperaturen</t>
  </si>
  <si>
    <t>Auslegungsrandbedingungen</t>
  </si>
  <si>
    <t>Kühlen:</t>
  </si>
  <si>
    <t>Systemauswahl:</t>
  </si>
  <si>
    <t>2-Leiter</t>
  </si>
  <si>
    <t>4-Leiter</t>
  </si>
  <si>
    <t>gr. WT</t>
  </si>
  <si>
    <t>kl. WT</t>
  </si>
  <si>
    <t>a</t>
  </si>
  <si>
    <t>b</t>
  </si>
  <si>
    <t>-</t>
  </si>
  <si>
    <t>Leistungsaufnahme [W]</t>
  </si>
  <si>
    <t>zug. wassers. Druckverlust [kPa]</t>
  </si>
  <si>
    <t>4-Leiter H</t>
  </si>
  <si>
    <t>2-Leiter K</t>
  </si>
  <si>
    <t>2-Leiter H</t>
  </si>
  <si>
    <t>4-Leiter K</t>
  </si>
  <si>
    <t>2-Leiter V</t>
  </si>
  <si>
    <t>4-Leiter V</t>
  </si>
  <si>
    <t>*Schallleistungs-pegel [dB(A)]</t>
  </si>
  <si>
    <t>Schalldruckpegel** [dB(A)]</t>
  </si>
  <si>
    <t>*gemessen nach ISO 3741:2010</t>
  </si>
  <si>
    <t xml:space="preserve"> **berechnet für eine Raumdämpfung von 8dB(A)</t>
  </si>
  <si>
    <t>Briza Einbau Höhe 52cm Länge 52cm</t>
  </si>
  <si>
    <t>Briza Einbau Höhe 52cm Länge 72cm</t>
  </si>
  <si>
    <t>Briza Einbau Höhe 52cm Länge 102cm</t>
  </si>
  <si>
    <t>Briza Einbau Höhe 52cm Länge 122cm</t>
  </si>
  <si>
    <t>H38 L52</t>
  </si>
  <si>
    <t>H38 L72</t>
  </si>
  <si>
    <t>H38 L102</t>
  </si>
  <si>
    <t>H38 L122</t>
  </si>
  <si>
    <t>H52 L52</t>
  </si>
  <si>
    <t>H52 L72</t>
  </si>
  <si>
    <t>H52 L102</t>
  </si>
  <si>
    <t>H52 L122</t>
  </si>
  <si>
    <t>Briza Einbau Höhe 38cm Länge 52cm</t>
  </si>
  <si>
    <t>Briza Einbau Höhe 38cm Länge 72cm</t>
  </si>
  <si>
    <t>Briza Einbau Höhe 38cm Länge 102cm</t>
  </si>
  <si>
    <t>Briza Einbau Höhe 38cm Länge 122cm</t>
  </si>
  <si>
    <t>v09-06-2017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</si>
</sst>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7" tint="0.7999816888943144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0" tint="-0.34998626667073579"/>
      </right>
      <top/>
      <bottom style="thin">
        <color theme="6"/>
      </bottom>
      <diagonal/>
    </border>
    <border>
      <left/>
      <right/>
      <top style="thin">
        <color theme="6"/>
      </top>
      <bottom/>
      <diagonal/>
    </border>
  </borders>
  <cellStyleXfs count="2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0" fillId="3" borderId="0" xfId="0" applyFill="1" applyBorder="1"/>
    <xf numFmtId="0" fontId="1" fillId="3" borderId="0" xfId="0" applyFont="1" applyFill="1" applyBorder="1"/>
    <xf numFmtId="0" fontId="0" fillId="3" borderId="0" xfId="0" applyFill="1" applyBorder="1" applyAlignment="1">
      <alignment horizontal="left"/>
    </xf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0" fillId="3" borderId="5" xfId="0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1" fillId="3" borderId="0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/>
    <xf numFmtId="49" fontId="8" fillId="4" borderId="10" xfId="0" applyNumberFormat="1" applyFont="1" applyFill="1" applyBorder="1"/>
    <xf numFmtId="0" fontId="9" fillId="4" borderId="1" xfId="0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8" xfId="0" applyFill="1" applyBorder="1"/>
    <xf numFmtId="0" fontId="1" fillId="3" borderId="4" xfId="0" applyFont="1" applyFill="1" applyBorder="1" applyAlignment="1">
      <alignment horizontal="center" vertical="center" textRotation="90" wrapText="1"/>
    </xf>
    <xf numFmtId="0" fontId="0" fillId="2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textRotation="90" wrapText="1"/>
    </xf>
    <xf numFmtId="1" fontId="0" fillId="2" borderId="5" xfId="0" applyNumberFormat="1" applyFill="1" applyBorder="1" applyAlignment="1">
      <alignment horizontal="center" vertical="center"/>
    </xf>
    <xf numFmtId="0" fontId="7" fillId="2" borderId="0" xfId="0" applyFont="1" applyFill="1" applyBorder="1"/>
    <xf numFmtId="0" fontId="10" fillId="3" borderId="0" xfId="0" applyFont="1" applyFill="1" applyBorder="1"/>
    <xf numFmtId="0" fontId="0" fillId="4" borderId="1" xfId="0" applyFill="1" applyBorder="1" applyAlignment="1" applyProtection="1">
      <alignment horizontal="center"/>
      <protection locked="0"/>
    </xf>
    <xf numFmtId="0" fontId="1" fillId="3" borderId="3" xfId="0" applyFont="1" applyFill="1" applyBorder="1" applyAlignment="1">
      <alignment horizontal="center" vertical="center" textRotation="90" wrapText="1"/>
    </xf>
    <xf numFmtId="2" fontId="0" fillId="2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49" fontId="0" fillId="4" borderId="1" xfId="0" applyNumberFormat="1" applyFill="1" applyBorder="1" applyProtection="1">
      <protection locked="0"/>
    </xf>
    <xf numFmtId="0" fontId="11" fillId="2" borderId="0" xfId="0" applyFont="1" applyFill="1" applyBorder="1"/>
    <xf numFmtId="0" fontId="0" fillId="2" borderId="0" xfId="0" applyFill="1" applyAlignment="1"/>
    <xf numFmtId="0" fontId="0" fillId="3" borderId="0" xfId="0" applyFill="1" applyBorder="1" applyAlignment="1">
      <alignment horizontal="left"/>
    </xf>
    <xf numFmtId="9" fontId="0" fillId="2" borderId="5" xfId="0" applyNumberFormat="1" applyFont="1" applyFill="1" applyBorder="1"/>
    <xf numFmtId="9" fontId="0" fillId="2" borderId="14" xfId="0" applyNumberFormat="1" applyFont="1" applyFill="1" applyBorder="1"/>
    <xf numFmtId="0" fontId="0" fillId="2" borderId="15" xfId="0" applyFont="1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15" xfId="0" applyNumberFormat="1" applyFont="1" applyFill="1" applyBorder="1" applyAlignment="1">
      <alignment horizontal="center" vertical="center"/>
    </xf>
    <xf numFmtId="2" fontId="0" fillId="2" borderId="16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6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0" fontId="0" fillId="2" borderId="17" xfId="0" applyFill="1" applyBorder="1"/>
    <xf numFmtId="0" fontId="0" fillId="3" borderId="0" xfId="0" applyFont="1" applyFill="1" applyBorder="1"/>
    <xf numFmtId="0" fontId="2" fillId="2" borderId="17" xfId="0" applyFont="1" applyFill="1" applyBorder="1" applyAlignment="1">
      <alignment horizontal="right" vertical="top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/>
    </xf>
    <xf numFmtId="0" fontId="0" fillId="3" borderId="0" xfId="0" applyFill="1" applyBorder="1" applyAlignment="1">
      <alignment horizontal="left"/>
    </xf>
  </cellXfs>
  <cellStyles count="2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48"/>
  <sheetViews>
    <sheetView showGridLines="0" showRuler="0" topLeftCell="A13" zoomScale="85" zoomScaleNormal="85" workbookViewId="0">
      <selection activeCell="I6" sqref="I6"/>
    </sheetView>
  </sheetViews>
  <sheetFormatPr baseColWidth="10" defaultColWidth="0" defaultRowHeight="14.4" zeroHeight="1" x14ac:dyDescent="0.3"/>
  <cols>
    <col min="1" max="1" width="7" style="1" customWidth="1"/>
    <col min="2" max="2" width="6.109375" style="1" customWidth="1"/>
    <col min="3" max="3" width="7" style="1" customWidth="1"/>
    <col min="4" max="4" width="6.77734375" style="1" customWidth="1"/>
    <col min="5" max="9" width="7" style="1" customWidth="1"/>
    <col min="10" max="10" width="7.5546875" style="1" bestFit="1" customWidth="1"/>
    <col min="11" max="12" width="7" style="1" customWidth="1"/>
    <col min="13" max="13" width="2.109375" style="1" customWidth="1"/>
    <col min="14" max="16384" width="11.44140625" style="1" hidden="1"/>
  </cols>
  <sheetData>
    <row r="1" spans="1:23" s="3" customFormat="1" x14ac:dyDescent="0.3">
      <c r="A1" s="21"/>
      <c r="L1" s="40" t="s">
        <v>14</v>
      </c>
    </row>
    <row r="2" spans="1:23" s="3" customFormat="1" x14ac:dyDescent="0.3">
      <c r="A2" s="23" t="s">
        <v>9</v>
      </c>
      <c r="B2" s="22"/>
      <c r="L2" s="40" t="s">
        <v>15</v>
      </c>
    </row>
    <row r="3" spans="1:23" s="3" customFormat="1" x14ac:dyDescent="0.3">
      <c r="A3" s="21"/>
    </row>
    <row r="4" spans="1:23" s="3" customFormat="1" x14ac:dyDescent="0.3">
      <c r="A4" s="32" t="s">
        <v>11</v>
      </c>
    </row>
    <row r="5" spans="1:23" s="3" customFormat="1" ht="6" customHeigh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23" x14ac:dyDescent="0.3">
      <c r="A6" s="12" t="s">
        <v>10</v>
      </c>
      <c r="B6" s="6"/>
      <c r="C6" s="6"/>
      <c r="D6" s="6"/>
      <c r="E6" s="6"/>
      <c r="F6" s="6"/>
      <c r="G6" s="56" t="s">
        <v>13</v>
      </c>
      <c r="H6" s="6"/>
      <c r="I6" s="39" t="s">
        <v>14</v>
      </c>
      <c r="J6" s="6"/>
      <c r="K6" s="6"/>
      <c r="L6" s="13"/>
    </row>
    <row r="7" spans="1:23" x14ac:dyDescent="0.3">
      <c r="A7" s="12" t="s">
        <v>6</v>
      </c>
      <c r="B7" s="6"/>
      <c r="C7" s="6"/>
      <c r="D7" s="6"/>
      <c r="E7" s="6"/>
      <c r="F7" s="7" t="s">
        <v>12</v>
      </c>
      <c r="G7" s="7"/>
      <c r="H7" s="6"/>
      <c r="I7" s="6"/>
      <c r="J7" s="6"/>
      <c r="K7" s="33"/>
      <c r="L7" s="13"/>
    </row>
    <row r="8" spans="1:23" x14ac:dyDescent="0.3">
      <c r="A8" s="61" t="s">
        <v>0</v>
      </c>
      <c r="B8" s="62"/>
      <c r="C8" s="62"/>
      <c r="D8" s="34">
        <v>75</v>
      </c>
      <c r="E8" s="8"/>
      <c r="F8" s="62" t="s">
        <v>0</v>
      </c>
      <c r="G8" s="62"/>
      <c r="H8" s="62"/>
      <c r="I8" s="34">
        <v>7</v>
      </c>
      <c r="J8" s="6"/>
      <c r="K8" s="6"/>
      <c r="L8" s="13"/>
    </row>
    <row r="9" spans="1:23" x14ac:dyDescent="0.3">
      <c r="A9" s="61" t="s">
        <v>8</v>
      </c>
      <c r="B9" s="62"/>
      <c r="C9" s="62"/>
      <c r="D9" s="34">
        <v>65</v>
      </c>
      <c r="E9" s="8"/>
      <c r="F9" s="62" t="s">
        <v>8</v>
      </c>
      <c r="G9" s="62"/>
      <c r="H9" s="62"/>
      <c r="I9" s="34">
        <v>12</v>
      </c>
      <c r="J9" s="6"/>
      <c r="K9" s="6"/>
      <c r="L9" s="13"/>
    </row>
    <row r="10" spans="1:23" x14ac:dyDescent="0.3">
      <c r="A10" s="61" t="s">
        <v>1</v>
      </c>
      <c r="B10" s="62"/>
      <c r="C10" s="62"/>
      <c r="D10" s="34">
        <v>20</v>
      </c>
      <c r="E10" s="8"/>
      <c r="F10" s="62" t="s">
        <v>1</v>
      </c>
      <c r="G10" s="62"/>
      <c r="H10" s="62"/>
      <c r="I10" s="34">
        <v>25</v>
      </c>
      <c r="J10" s="6"/>
      <c r="K10" s="6"/>
      <c r="L10" s="13"/>
    </row>
    <row r="11" spans="1:23" x14ac:dyDescent="0.3">
      <c r="A11" s="14"/>
      <c r="B11" s="6"/>
      <c r="C11" s="6"/>
      <c r="D11" s="6"/>
      <c r="E11" s="6"/>
      <c r="F11" s="6"/>
      <c r="G11" s="6"/>
      <c r="H11" s="6"/>
      <c r="I11" s="6"/>
      <c r="J11" s="6"/>
      <c r="K11" s="6"/>
      <c r="L11" s="13"/>
      <c r="N11" s="1">
        <f>IF(I6="2-Leiter",2,3)</f>
        <v>2</v>
      </c>
      <c r="Q11" s="1">
        <f>IF($I$6="2-Leiter",4,5)</f>
        <v>4</v>
      </c>
      <c r="R11" s="1">
        <f>IF($I$6="2-Leiter",6,7)</f>
        <v>6</v>
      </c>
    </row>
    <row r="12" spans="1:23" ht="6" customHeight="1" x14ac:dyDescent="0.3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8"/>
    </row>
    <row r="13" spans="1:23" ht="14.4" customHeight="1" x14ac:dyDescent="0.3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23" s="2" customFormat="1" ht="101.4" customHeight="1" x14ac:dyDescent="0.3">
      <c r="A14" s="30" t="s">
        <v>2</v>
      </c>
      <c r="B14" s="19" t="s">
        <v>3</v>
      </c>
      <c r="C14" s="30" t="str">
        <f>CONCATENATE("Wärmeleistung ",D8,"/",D9,"/",D10," [W]")</f>
        <v>Wärmeleistung 75/65/20 [W]</v>
      </c>
      <c r="D14" s="35" t="s">
        <v>5</v>
      </c>
      <c r="E14" s="38" t="s">
        <v>22</v>
      </c>
      <c r="F14" s="19" t="str">
        <f>CONCATENATE("Tot. Kälteleistung ",I8,"/",I9,"/",I10," [W]")</f>
        <v>Tot. Kälteleistung 7/12/25 [W]</v>
      </c>
      <c r="G14" s="19" t="s">
        <v>7</v>
      </c>
      <c r="H14" s="20" t="s">
        <v>22</v>
      </c>
      <c r="I14" s="30" t="s">
        <v>30</v>
      </c>
      <c r="J14" s="37" t="s">
        <v>29</v>
      </c>
      <c r="K14" s="19" t="s">
        <v>21</v>
      </c>
      <c r="L14" s="28" t="s">
        <v>4</v>
      </c>
    </row>
    <row r="15" spans="1:23" ht="18" customHeight="1" x14ac:dyDescent="0.3">
      <c r="A15" s="58" t="s">
        <v>45</v>
      </c>
      <c r="B15" s="59"/>
      <c r="C15" s="58"/>
      <c r="D15" s="60"/>
      <c r="E15" s="59"/>
      <c r="F15" s="59"/>
      <c r="G15" s="59"/>
      <c r="H15" s="59"/>
      <c r="I15" s="58"/>
      <c r="J15" s="59"/>
      <c r="K15" s="59"/>
      <c r="L15" s="60"/>
      <c r="N15" s="1" t="s">
        <v>37</v>
      </c>
      <c r="O15" s="1" t="s">
        <v>25</v>
      </c>
      <c r="P15" s="1" t="s">
        <v>23</v>
      </c>
      <c r="Q15" s="1" t="s">
        <v>24</v>
      </c>
      <c r="R15" s="1" t="s">
        <v>26</v>
      </c>
      <c r="S15" s="1" t="s">
        <v>27</v>
      </c>
      <c r="T15" s="1" t="s">
        <v>28</v>
      </c>
      <c r="V15" s="1" t="s">
        <v>16</v>
      </c>
      <c r="W15" s="1" t="s">
        <v>17</v>
      </c>
    </row>
    <row r="16" spans="1:23" x14ac:dyDescent="0.3">
      <c r="A16" s="43">
        <v>0.2</v>
      </c>
      <c r="B16" s="26">
        <v>2</v>
      </c>
      <c r="C16" s="31">
        <f>VLOOKUP(B16,$N$15:$P$20,$N$11,FALSE)*(($D$8+$D$9)/2-$D$10)/50</f>
        <v>1000</v>
      </c>
      <c r="D16" s="24">
        <f>C16/(($D$8-$D$9)*1.163)</f>
        <v>85.984522785898534</v>
      </c>
      <c r="E16" s="36">
        <f>IF($I$6="2-Leiter",$W$16*D16^$W$17,$W$16*D16^$W$17)</f>
        <v>0.27992178765286552</v>
      </c>
      <c r="F16" s="31">
        <f>VLOOKUP(B16,$N$15:$R$20,$Q$11,FALSE)*($I$10-(($I$8+$I$9)/2))/15.5</f>
        <v>235</v>
      </c>
      <c r="G16" s="24">
        <f>F16/(($I$9-$I$8)*1.163)</f>
        <v>40.41272570937231</v>
      </c>
      <c r="H16" s="25">
        <f>IF($I$6="2-Leiter",$W$16*G16^$W$17,$W$16*G16^$W$17)</f>
        <v>6.6752364809282344E-2</v>
      </c>
      <c r="I16" s="49">
        <v>19</v>
      </c>
      <c r="J16" s="50">
        <f>I16+8</f>
        <v>27</v>
      </c>
      <c r="K16" s="51">
        <v>1.6</v>
      </c>
      <c r="L16" s="29">
        <f>VLOOKUP(B16,$N$15:$T$20,$R$11,FALSE)</f>
        <v>70</v>
      </c>
      <c r="N16" s="1">
        <v>2</v>
      </c>
      <c r="O16" s="1">
        <v>1000</v>
      </c>
      <c r="P16" s="1">
        <v>799</v>
      </c>
      <c r="Q16" s="1">
        <v>235</v>
      </c>
      <c r="R16" s="1">
        <v>207</v>
      </c>
      <c r="S16" s="1">
        <v>70</v>
      </c>
      <c r="T16" s="1">
        <v>32</v>
      </c>
      <c r="U16" s="1" t="s">
        <v>18</v>
      </c>
      <c r="V16" s="1" t="s">
        <v>20</v>
      </c>
      <c r="W16" s="1">
        <v>5.9464479463497603E-5</v>
      </c>
    </row>
    <row r="17" spans="1:23" x14ac:dyDescent="0.3">
      <c r="A17" s="43">
        <v>0.4</v>
      </c>
      <c r="B17" s="26">
        <v>4</v>
      </c>
      <c r="C17" s="31">
        <f>VLOOKUP(B17,$N$15:$P$20,$N$11,FALSE)*(($D$8+$D$9)/2-$D$10)/50</f>
        <v>1150</v>
      </c>
      <c r="D17" s="24">
        <f t="shared" ref="D17:D20" si="0">C17/(($D$8-$D$9)*1.163)</f>
        <v>98.88220120378331</v>
      </c>
      <c r="E17" s="36">
        <f>IF($I$6="2-Leiter",$W$16*D17^$W$17,$W$16*D17^$W$17)</f>
        <v>0.36498953017617608</v>
      </c>
      <c r="F17" s="31">
        <f>VLOOKUP(B17,$N$15:$R$20,$Q$11,FALSE)*($I$10-(($I$8+$I$9)/2))/15.5</f>
        <v>290</v>
      </c>
      <c r="G17" s="24">
        <f t="shared" ref="G17:G20" si="1">F17/(($I$9-$I$8)*1.163)</f>
        <v>49.871023215821147</v>
      </c>
      <c r="H17" s="25">
        <f>IF($I$6="2-Leiter",$W$16*G17^$W$17,$W$16*G17^$W$17)</f>
        <v>9.9510805229352656E-2</v>
      </c>
      <c r="I17" s="49">
        <v>25.2</v>
      </c>
      <c r="J17" s="50">
        <f t="shared" ref="J17:J20" si="2">I17+8</f>
        <v>33.200000000000003</v>
      </c>
      <c r="K17" s="51">
        <v>2.6</v>
      </c>
      <c r="L17" s="29">
        <f t="shared" ref="L17:L20" si="3">VLOOKUP(B17,$N$15:$T$20,$R$11,FALSE)</f>
        <v>111</v>
      </c>
      <c r="N17" s="1">
        <v>4</v>
      </c>
      <c r="O17" s="1">
        <v>1150</v>
      </c>
      <c r="P17" s="1">
        <v>920</v>
      </c>
      <c r="Q17" s="1">
        <v>290</v>
      </c>
      <c r="R17" s="1">
        <v>246</v>
      </c>
      <c r="S17" s="1">
        <v>111</v>
      </c>
      <c r="T17" s="1">
        <v>67</v>
      </c>
      <c r="U17" s="1" t="s">
        <v>19</v>
      </c>
      <c r="V17" s="1" t="s">
        <v>20</v>
      </c>
      <c r="W17" s="1">
        <v>1.89864586792692</v>
      </c>
    </row>
    <row r="18" spans="1:23" x14ac:dyDescent="0.3">
      <c r="A18" s="43">
        <v>0.6</v>
      </c>
      <c r="B18" s="26">
        <v>6</v>
      </c>
      <c r="C18" s="31">
        <f>VLOOKUP(B18,$N$15:$P$20,$N$11,FALSE)*(($D$8+$D$9)/2-$D$10)/50</f>
        <v>1310</v>
      </c>
      <c r="D18" s="24">
        <f t="shared" si="0"/>
        <v>112.63972484952708</v>
      </c>
      <c r="E18" s="36">
        <f>IF($I$6="2-Leiter",$W$16*D18^$W$17,$W$16*D18^$W$17)</f>
        <v>0.46740501080312857</v>
      </c>
      <c r="F18" s="31">
        <f>VLOOKUP(B18,$N$15:$R$20,$Q$11,FALSE)*($I$10-(($I$8+$I$9)/2))/15.5</f>
        <v>360</v>
      </c>
      <c r="G18" s="24">
        <f t="shared" si="1"/>
        <v>61.90885640584694</v>
      </c>
      <c r="H18" s="25">
        <f>IF($I$6="2-Leiter",$W$16*G18^$W$17,$W$16*G18^$W$17)</f>
        <v>0.15002430960289054</v>
      </c>
      <c r="I18" s="49">
        <v>32.5</v>
      </c>
      <c r="J18" s="50">
        <f t="shared" si="2"/>
        <v>40.5</v>
      </c>
      <c r="K18" s="51">
        <v>4.3</v>
      </c>
      <c r="L18" s="29">
        <f t="shared" si="3"/>
        <v>155</v>
      </c>
      <c r="N18" s="1">
        <v>6</v>
      </c>
      <c r="O18" s="1">
        <v>1310</v>
      </c>
      <c r="P18" s="1">
        <v>1050</v>
      </c>
      <c r="Q18" s="1">
        <v>360</v>
      </c>
      <c r="R18" s="1">
        <v>290</v>
      </c>
      <c r="S18" s="1">
        <v>155</v>
      </c>
      <c r="T18" s="1">
        <v>95</v>
      </c>
    </row>
    <row r="19" spans="1:23" x14ac:dyDescent="0.3">
      <c r="A19" s="43">
        <v>0.8</v>
      </c>
      <c r="B19" s="26">
        <v>8</v>
      </c>
      <c r="C19" s="31">
        <f>VLOOKUP(B19,$N$15:$P$20,$N$11,FALSE)*(($D$8+$D$9)/2-$D$10)/50</f>
        <v>1530</v>
      </c>
      <c r="D19" s="24">
        <f t="shared" si="0"/>
        <v>131.55631986242474</v>
      </c>
      <c r="E19" s="36">
        <f>IF($I$6="2-Leiter",$W$16*D19^$W$17,$W$16*D19^$W$17)</f>
        <v>0.62762513090466598</v>
      </c>
      <c r="F19" s="31">
        <f>VLOOKUP(B19,$N$15:$R$20,$Q$11,FALSE)*($I$10-(($I$8+$I$9)/2))/15.5</f>
        <v>420</v>
      </c>
      <c r="G19" s="24">
        <f t="shared" si="1"/>
        <v>72.226999140154774</v>
      </c>
      <c r="H19" s="25">
        <f>IF($I$6="2-Leiter",$W$16*G19^$W$17,$W$16*G19^$W$17)</f>
        <v>0.20103417053595876</v>
      </c>
      <c r="I19" s="49">
        <v>39</v>
      </c>
      <c r="J19" s="50">
        <f t="shared" si="2"/>
        <v>47</v>
      </c>
      <c r="K19" s="51">
        <v>7.2</v>
      </c>
      <c r="L19" s="29">
        <f t="shared" si="3"/>
        <v>196</v>
      </c>
      <c r="N19" s="1">
        <v>8</v>
      </c>
      <c r="O19" s="1">
        <v>1530</v>
      </c>
      <c r="P19" s="1">
        <v>1230</v>
      </c>
      <c r="Q19" s="1">
        <v>420</v>
      </c>
      <c r="R19" s="1">
        <v>338</v>
      </c>
      <c r="S19" s="1">
        <v>196</v>
      </c>
      <c r="T19" s="1">
        <v>128</v>
      </c>
    </row>
    <row r="20" spans="1:23" x14ac:dyDescent="0.3">
      <c r="A20" s="43">
        <v>1</v>
      </c>
      <c r="B20" s="26">
        <v>10</v>
      </c>
      <c r="C20" s="31">
        <f>VLOOKUP(B20,$N$15:$P$20,$N$11,FALSE)*(($D$8+$D$9)/2-$D$10)/50</f>
        <v>1836</v>
      </c>
      <c r="D20" s="24">
        <f t="shared" si="0"/>
        <v>157.86758383490971</v>
      </c>
      <c r="E20" s="36">
        <f>IF($I$6="2-Leiter",$W$16*D20^$W$17,$W$16*D20^$W$17)</f>
        <v>0.88723255846946403</v>
      </c>
      <c r="F20" s="31">
        <f>VLOOKUP(B20,$N$15:$R$20,$Q$11,FALSE)*($I$10-(($I$8+$I$9)/2))/15.5</f>
        <v>486</v>
      </c>
      <c r="G20" s="24">
        <f t="shared" si="1"/>
        <v>83.57695614789337</v>
      </c>
      <c r="H20" s="25">
        <f>IF($I$6="2-Leiter",$W$16*G20^$W$17,$W$16*G20^$W$17)</f>
        <v>0.26522796179497626</v>
      </c>
      <c r="I20" s="49">
        <v>44</v>
      </c>
      <c r="J20" s="50">
        <f t="shared" si="2"/>
        <v>52</v>
      </c>
      <c r="K20" s="51">
        <v>13</v>
      </c>
      <c r="L20" s="29">
        <f t="shared" si="3"/>
        <v>235</v>
      </c>
      <c r="N20" s="1">
        <v>10</v>
      </c>
      <c r="O20" s="1">
        <v>1836</v>
      </c>
      <c r="P20" s="1">
        <v>1468</v>
      </c>
      <c r="Q20" s="1">
        <v>486</v>
      </c>
      <c r="R20" s="1">
        <v>388</v>
      </c>
      <c r="S20" s="1">
        <v>235</v>
      </c>
      <c r="T20" s="1">
        <v>157</v>
      </c>
    </row>
    <row r="21" spans="1:23" ht="16.95" customHeight="1" x14ac:dyDescent="0.3">
      <c r="A21" s="58" t="s">
        <v>46</v>
      </c>
      <c r="B21" s="59"/>
      <c r="C21" s="58"/>
      <c r="D21" s="60"/>
      <c r="E21" s="59"/>
      <c r="F21" s="59"/>
      <c r="G21" s="59"/>
      <c r="H21" s="59"/>
      <c r="I21" s="58"/>
      <c r="J21" s="59"/>
      <c r="K21" s="59"/>
      <c r="L21" s="60"/>
      <c r="N21" s="1" t="s">
        <v>38</v>
      </c>
      <c r="O21" s="1" t="s">
        <v>25</v>
      </c>
      <c r="P21" s="1" t="s">
        <v>23</v>
      </c>
      <c r="Q21" s="1" t="s">
        <v>24</v>
      </c>
      <c r="R21" s="1" t="s">
        <v>26</v>
      </c>
      <c r="S21" s="1" t="s">
        <v>27</v>
      </c>
      <c r="T21" s="1" t="s">
        <v>28</v>
      </c>
      <c r="V21" s="1" t="s">
        <v>16</v>
      </c>
      <c r="W21" s="1" t="s">
        <v>17</v>
      </c>
    </row>
    <row r="22" spans="1:23" x14ac:dyDescent="0.3">
      <c r="A22" s="43">
        <v>0.2</v>
      </c>
      <c r="B22" s="26">
        <v>2</v>
      </c>
      <c r="C22" s="31">
        <f>VLOOKUP(B22,$N$21:$R$26,$N$11,FALSE)*(($D$8+$D$9)/2-$D$10)/50</f>
        <v>1620</v>
      </c>
      <c r="D22" s="24">
        <f>C22/(($D$8-$D$9)*1.163)</f>
        <v>139.29492691315562</v>
      </c>
      <c r="E22" s="36">
        <f>IF($I$6="2-Leiter",$W$22*D22^$W$23,$W$22*D22^$W$23)</f>
        <v>1.1728575689856791</v>
      </c>
      <c r="F22" s="31">
        <f>VLOOKUP(B22,$N$21:$R$26,$Q$11,FALSE)*($I$10-(($I$8+$I$9)/2))/15.5</f>
        <v>410</v>
      </c>
      <c r="G22" s="24">
        <f>F22/(($I$9-$I$8)*1.163)</f>
        <v>70.507308684436794</v>
      </c>
      <c r="H22" s="25">
        <f>IF($I$6="2-Leiter",$W$22*G22^$W$23,$W$22*G22^$W$23)</f>
        <v>0.33966119488042573</v>
      </c>
      <c r="I22" s="49">
        <v>21.5</v>
      </c>
      <c r="J22" s="50">
        <f>I22+8</f>
        <v>29.5</v>
      </c>
      <c r="K22" s="51">
        <v>2.5</v>
      </c>
      <c r="L22" s="29">
        <f>VLOOKUP(B22,$N$21:$T$26,$R$11,FALSE)</f>
        <v>119</v>
      </c>
      <c r="N22" s="1">
        <v>2</v>
      </c>
      <c r="O22" s="1">
        <v>1620</v>
      </c>
      <c r="P22" s="1">
        <v>1342</v>
      </c>
      <c r="Q22" s="1">
        <v>410</v>
      </c>
      <c r="R22" s="1">
        <v>340</v>
      </c>
      <c r="S22" s="1">
        <v>119</v>
      </c>
      <c r="T22" s="1">
        <v>57</v>
      </c>
      <c r="V22" s="1" t="s">
        <v>20</v>
      </c>
      <c r="W22" s="1">
        <v>1.4693140369194315E-4</v>
      </c>
    </row>
    <row r="23" spans="1:23" x14ac:dyDescent="0.3">
      <c r="A23" s="43">
        <v>0.4</v>
      </c>
      <c r="B23" s="26">
        <v>4</v>
      </c>
      <c r="C23" s="31">
        <f>VLOOKUP(B23,$N$21:$R$26,$N$11,FALSE)*(($D$8+$D$9)/2-$D$10)/50</f>
        <v>1980</v>
      </c>
      <c r="D23" s="24">
        <f t="shared" ref="D23:D26" si="4">C23/(($D$8-$D$9)*1.163)</f>
        <v>170.2493551160791</v>
      </c>
      <c r="E23" s="36">
        <f>IF($I$6="2-Leiter",$W$22*D23^$W$23,$W$22*D23^$W$23)</f>
        <v>1.6899172542243006</v>
      </c>
      <c r="F23" s="31">
        <f>VLOOKUP(B23,$N$21:$R$26,$Q$11,FALSE)*($I$10-(($I$8+$I$9)/2))/15.5</f>
        <v>480</v>
      </c>
      <c r="G23" s="24">
        <f t="shared" ref="G23:G26" si="5">F23/(($I$9-$I$8)*1.163)</f>
        <v>82.545141874462587</v>
      </c>
      <c r="H23" s="25">
        <f>IF($I$6="2-Leiter",$W$22*G23^$W$23,$W$22*G23^$W$23)</f>
        <v>0.45252621493370254</v>
      </c>
      <c r="I23" s="49">
        <v>27.5</v>
      </c>
      <c r="J23" s="50">
        <f t="shared" ref="J23:J26" si="6">I23+8</f>
        <v>35.5</v>
      </c>
      <c r="K23" s="51">
        <v>4.3</v>
      </c>
      <c r="L23" s="29">
        <f t="shared" ref="L23:L26" si="7">VLOOKUP(B23,$N$21:$T$26,$R$11,FALSE)</f>
        <v>189</v>
      </c>
      <c r="N23" s="1">
        <v>4</v>
      </c>
      <c r="O23" s="1">
        <v>1980</v>
      </c>
      <c r="P23" s="1">
        <v>1500</v>
      </c>
      <c r="Q23" s="1">
        <v>480</v>
      </c>
      <c r="R23" s="1">
        <v>398</v>
      </c>
      <c r="S23" s="1">
        <v>189</v>
      </c>
      <c r="T23" s="1">
        <v>101</v>
      </c>
      <c r="V23" s="1" t="s">
        <v>20</v>
      </c>
      <c r="W23" s="1">
        <v>1.82007854790934</v>
      </c>
    </row>
    <row r="24" spans="1:23" x14ac:dyDescent="0.3">
      <c r="A24" s="43">
        <v>0.6</v>
      </c>
      <c r="B24" s="26">
        <v>6</v>
      </c>
      <c r="C24" s="31">
        <f>VLOOKUP(B24,$N$21:$R$26,$N$11,FALSE)*(($D$8+$D$9)/2-$D$10)/50</f>
        <v>2100</v>
      </c>
      <c r="D24" s="24">
        <f t="shared" si="4"/>
        <v>180.56749785038693</v>
      </c>
      <c r="E24" s="36">
        <f>IF($I$6="2-Leiter",$W$22*D24^$W$23,$W$22*D24^$W$23)</f>
        <v>1.8809442240229379</v>
      </c>
      <c r="F24" s="31">
        <f>VLOOKUP(B24,$N$21:$R$26,$Q$11,FALSE)*($I$10-(($I$8+$I$9)/2))/15.5</f>
        <v>575</v>
      </c>
      <c r="G24" s="24">
        <f t="shared" si="5"/>
        <v>98.88220120378331</v>
      </c>
      <c r="H24" s="25">
        <f>IF($I$6="2-Leiter",$W$22*G24^$W$23,$W$22*G24^$W$23)</f>
        <v>0.62861729949480749</v>
      </c>
      <c r="I24" s="49">
        <v>34.9</v>
      </c>
      <c r="J24" s="50">
        <f t="shared" si="6"/>
        <v>42.9</v>
      </c>
      <c r="K24" s="51">
        <v>7.2</v>
      </c>
      <c r="L24" s="29">
        <f t="shared" si="7"/>
        <v>245</v>
      </c>
      <c r="N24" s="1">
        <v>6</v>
      </c>
      <c r="O24" s="1">
        <v>2100</v>
      </c>
      <c r="P24" s="1">
        <v>1676</v>
      </c>
      <c r="Q24" s="1">
        <v>575</v>
      </c>
      <c r="R24" s="1">
        <v>458</v>
      </c>
      <c r="S24" s="1">
        <v>245</v>
      </c>
      <c r="T24" s="1">
        <v>158</v>
      </c>
    </row>
    <row r="25" spans="1:23" x14ac:dyDescent="0.3">
      <c r="A25" s="43">
        <v>0.8</v>
      </c>
      <c r="B25" s="26">
        <v>8</v>
      </c>
      <c r="C25" s="31">
        <f>VLOOKUP(B25,$N$21:$R$26,$N$11,FALSE)*(($D$8+$D$9)/2-$D$10)/50</f>
        <v>2460</v>
      </c>
      <c r="D25" s="24">
        <f t="shared" si="4"/>
        <v>211.52192605331038</v>
      </c>
      <c r="E25" s="36">
        <f>IF($I$6="2-Leiter",$W$22*D25^$W$23,$W$22*D25^$W$23)</f>
        <v>2.5086732186393284</v>
      </c>
      <c r="F25" s="31">
        <f>VLOOKUP(B25,$N$21:$R$26,$Q$11,FALSE)*($I$10-(($I$8+$I$9)/2))/15.5</f>
        <v>680</v>
      </c>
      <c r="G25" s="24">
        <f t="shared" si="5"/>
        <v>116.938950988822</v>
      </c>
      <c r="H25" s="25">
        <f>IF($I$6="2-Leiter",$W$22*G25^$W$23,$W$22*G25^$W$23)</f>
        <v>0.85302703187562001</v>
      </c>
      <c r="I25" s="49">
        <v>40.700000000000003</v>
      </c>
      <c r="J25" s="50">
        <f t="shared" si="6"/>
        <v>48.7</v>
      </c>
      <c r="K25" s="51">
        <v>11.5</v>
      </c>
      <c r="L25" s="29">
        <f t="shared" si="7"/>
        <v>315</v>
      </c>
      <c r="N25" s="1">
        <v>8</v>
      </c>
      <c r="O25" s="1">
        <v>2460</v>
      </c>
      <c r="P25" s="1">
        <v>1968</v>
      </c>
      <c r="Q25" s="1">
        <v>680</v>
      </c>
      <c r="R25" s="1">
        <v>539</v>
      </c>
      <c r="S25" s="1">
        <v>315</v>
      </c>
      <c r="T25" s="1">
        <v>213</v>
      </c>
      <c r="U25" s="41"/>
      <c r="V25" s="41"/>
    </row>
    <row r="26" spans="1:23" x14ac:dyDescent="0.3">
      <c r="A26" s="43">
        <v>1</v>
      </c>
      <c r="B26" s="26">
        <v>10</v>
      </c>
      <c r="C26" s="31">
        <f>VLOOKUP(B26,$N$21:$R$26,$N$11,FALSE)*(($D$8+$D$9)/2-$D$10)/50</f>
        <v>3021</v>
      </c>
      <c r="D26" s="24">
        <f t="shared" si="4"/>
        <v>259.75924333619946</v>
      </c>
      <c r="E26" s="36">
        <f>IF($I$6="2-Leiter",$W$22*D26^$W$23,$W$22*D26^$W$23)</f>
        <v>3.6460576082840195</v>
      </c>
      <c r="F26" s="31">
        <f>VLOOKUP(B26,$N$21:$R$26,$Q$11,FALSE)*($I$10-(($I$8+$I$9)/2))/15.5</f>
        <v>800</v>
      </c>
      <c r="G26" s="24">
        <f t="shared" si="5"/>
        <v>137.57523645743765</v>
      </c>
      <c r="H26" s="25">
        <f>IF($I$6="2-Leiter",$W$22*G26^$W$23,$W$22*G26^$W$23)</f>
        <v>1.1466368455300113</v>
      </c>
      <c r="I26" s="49">
        <v>45</v>
      </c>
      <c r="J26" s="50">
        <f t="shared" si="6"/>
        <v>53</v>
      </c>
      <c r="K26" s="51">
        <v>18</v>
      </c>
      <c r="L26" s="29">
        <f t="shared" si="7"/>
        <v>380</v>
      </c>
      <c r="N26" s="1">
        <v>10</v>
      </c>
      <c r="O26" s="1">
        <v>3021</v>
      </c>
      <c r="P26" s="1">
        <v>2416</v>
      </c>
      <c r="Q26" s="1">
        <v>800</v>
      </c>
      <c r="R26" s="1">
        <v>640</v>
      </c>
      <c r="S26" s="1">
        <v>380</v>
      </c>
      <c r="T26" s="1">
        <v>252</v>
      </c>
      <c r="U26" s="41"/>
      <c r="V26" s="41"/>
    </row>
    <row r="27" spans="1:23" ht="18" customHeight="1" x14ac:dyDescent="0.3">
      <c r="A27" s="58" t="s">
        <v>47</v>
      </c>
      <c r="B27" s="59"/>
      <c r="C27" s="58"/>
      <c r="D27" s="60"/>
      <c r="E27" s="59"/>
      <c r="F27" s="59"/>
      <c r="G27" s="59"/>
      <c r="H27" s="59"/>
      <c r="I27" s="58"/>
      <c r="J27" s="59"/>
      <c r="K27" s="59"/>
      <c r="L27" s="60"/>
      <c r="N27" s="1" t="s">
        <v>39</v>
      </c>
      <c r="O27" s="1" t="s">
        <v>25</v>
      </c>
      <c r="P27" s="1" t="s">
        <v>23</v>
      </c>
      <c r="Q27" s="1" t="s">
        <v>24</v>
      </c>
      <c r="R27" s="1" t="s">
        <v>26</v>
      </c>
      <c r="S27" s="1" t="s">
        <v>27</v>
      </c>
      <c r="T27" s="1" t="s">
        <v>28</v>
      </c>
    </row>
    <row r="28" spans="1:23" x14ac:dyDescent="0.3">
      <c r="A28" s="43">
        <v>0.2</v>
      </c>
      <c r="B28" s="26">
        <v>2</v>
      </c>
      <c r="C28" s="31">
        <f>VLOOKUP(B28,$N$27:$R$32,$N$11,FALSE)*(($D$8+$D$9)/2-$D$10)/50</f>
        <v>2600</v>
      </c>
      <c r="D28" s="24">
        <f>C28/(($D$8-$D$9)*1.163)</f>
        <v>223.55975924333617</v>
      </c>
      <c r="E28" s="36">
        <f>IF($I$6="2-Leiter",$W$29*D28^$W$30,$W$29*D28^$W$30)</f>
        <v>5.9252032279932649</v>
      </c>
      <c r="F28" s="31">
        <f>VLOOKUP(B28,$N$27:$R$32,$Q$11,FALSE)*($I$10-(($I$8+$I$9)/2))/15.5</f>
        <v>675</v>
      </c>
      <c r="G28" s="24">
        <f>F28/(($I$9-$I$8)*1.163)</f>
        <v>116.07910576096302</v>
      </c>
      <c r="H28" s="25">
        <f>IF($I$6="2-Leiter",$W$29*G28^$W$30,$W$29*G28^$W$30)</f>
        <v>2.1717290530123794</v>
      </c>
      <c r="I28" s="49">
        <v>23.1</v>
      </c>
      <c r="J28" s="50">
        <f>I28+8</f>
        <v>31.1</v>
      </c>
      <c r="K28" s="51">
        <v>2.6</v>
      </c>
      <c r="L28" s="29">
        <f>VLOOKUP(B28,$N$27:$T$32,$R$11,FALSE)</f>
        <v>160</v>
      </c>
      <c r="N28" s="1">
        <v>2</v>
      </c>
      <c r="O28" s="1">
        <v>2600</v>
      </c>
      <c r="P28" s="1">
        <v>2101</v>
      </c>
      <c r="Q28" s="1">
        <v>675</v>
      </c>
      <c r="R28" s="1">
        <v>558</v>
      </c>
      <c r="S28" s="1">
        <v>160</v>
      </c>
      <c r="T28" s="1">
        <v>80</v>
      </c>
      <c r="V28" s="1" t="s">
        <v>16</v>
      </c>
      <c r="W28" s="1" t="s">
        <v>17</v>
      </c>
    </row>
    <row r="29" spans="1:23" x14ac:dyDescent="0.3">
      <c r="A29" s="43">
        <v>0.4</v>
      </c>
      <c r="B29" s="26">
        <v>4</v>
      </c>
      <c r="C29" s="31">
        <f>VLOOKUP(B29,$N$27:$R$32,$N$11,FALSE)*(($D$8+$D$9)/2-$D$10)/50</f>
        <v>3200</v>
      </c>
      <c r="D29" s="24">
        <f>C29/(($D$8-$D$9)*1.163)</f>
        <v>275.15047291487531</v>
      </c>
      <c r="E29" s="36">
        <f>IF($I$6="2-Leiter",$W$29*D29^$W$30,$W$29*D29^$W$30)</f>
        <v>8.1432903349103611</v>
      </c>
      <c r="F29" s="31">
        <f>VLOOKUP(B29,$N$27:$R$32,$Q$11,FALSE)*($I$10-(($I$8+$I$9)/2))/15.5</f>
        <v>760</v>
      </c>
      <c r="G29" s="24">
        <f>F29/(($I$9-$I$8)*1.163)</f>
        <v>130.69647463456576</v>
      </c>
      <c r="H29" s="25">
        <f>IF($I$6="2-Leiter",$W$29*G29^$W$30,$W$29*G29^$W$30)</f>
        <v>2.6042812231240267</v>
      </c>
      <c r="I29" s="49">
        <v>30</v>
      </c>
      <c r="J29" s="50">
        <f t="shared" ref="J29:J32" si="8">I29+8</f>
        <v>38</v>
      </c>
      <c r="K29" s="51">
        <v>4.8</v>
      </c>
      <c r="L29" s="29">
        <f t="shared" ref="L29:L32" si="9">VLOOKUP(B29,$N$27:$T$32,$R$11,FALSE)</f>
        <v>243</v>
      </c>
      <c r="N29" s="1">
        <v>4</v>
      </c>
      <c r="O29" s="1">
        <v>3200</v>
      </c>
      <c r="P29" s="1">
        <v>2399</v>
      </c>
      <c r="Q29" s="1">
        <v>760</v>
      </c>
      <c r="R29" s="1">
        <v>629</v>
      </c>
      <c r="S29" s="1">
        <v>243</v>
      </c>
      <c r="T29" s="1">
        <v>164</v>
      </c>
      <c r="V29" s="1" t="s">
        <v>20</v>
      </c>
      <c r="W29" s="1">
        <v>1.4956750175957937E-3</v>
      </c>
    </row>
    <row r="30" spans="1:23" x14ac:dyDescent="0.3">
      <c r="A30" s="43">
        <v>0.6</v>
      </c>
      <c r="B30" s="26">
        <v>6</v>
      </c>
      <c r="C30" s="31">
        <f>VLOOKUP(B30,$N$27:$R$32,$N$11,FALSE)*(($D$8+$D$9)/2-$D$10)/50</f>
        <v>3400</v>
      </c>
      <c r="D30" s="24">
        <f>C30/(($D$8-$D$9)*1.163)</f>
        <v>292.34737747205503</v>
      </c>
      <c r="E30" s="36">
        <f>IF($I$6="2-Leiter",$W$29*D30^$W$30,$W$29*D30^$W$30)</f>
        <v>8.9355256825705478</v>
      </c>
      <c r="F30" s="31">
        <f>VLOOKUP(B30,$N$27:$R$32,$Q$11,FALSE)*($I$10-(($I$8+$I$9)/2))/15.5</f>
        <v>895</v>
      </c>
      <c r="G30" s="24">
        <f>F30/(($I$9-$I$8)*1.163)</f>
        <v>153.91229578675836</v>
      </c>
      <c r="H30" s="25">
        <f>IF($I$6="2-Leiter",$W$29*G30^$W$30,$W$29*G30^$W$30)</f>
        <v>3.3452754225264623</v>
      </c>
      <c r="I30" s="49">
        <v>38</v>
      </c>
      <c r="J30" s="50">
        <f t="shared" si="8"/>
        <v>46</v>
      </c>
      <c r="K30" s="51">
        <v>8</v>
      </c>
      <c r="L30" s="29">
        <f t="shared" si="9"/>
        <v>328</v>
      </c>
      <c r="N30" s="1">
        <v>6</v>
      </c>
      <c r="O30" s="1">
        <v>3400</v>
      </c>
      <c r="P30" s="1">
        <v>2725</v>
      </c>
      <c r="Q30" s="1">
        <v>895</v>
      </c>
      <c r="R30" s="1">
        <v>720</v>
      </c>
      <c r="S30" s="1">
        <v>328</v>
      </c>
      <c r="T30" s="1">
        <v>242</v>
      </c>
      <c r="V30" s="1" t="s">
        <v>20</v>
      </c>
      <c r="W30" s="1">
        <v>1.5314019584469578</v>
      </c>
    </row>
    <row r="31" spans="1:23" x14ac:dyDescent="0.3">
      <c r="A31" s="43">
        <v>0.8</v>
      </c>
      <c r="B31" s="26">
        <v>8</v>
      </c>
      <c r="C31" s="31">
        <f>VLOOKUP(B31,$N$27:$R$32,$N$11,FALSE)*(($D$8+$D$9)/2-$D$10)/50</f>
        <v>4000</v>
      </c>
      <c r="D31" s="24">
        <f t="shared" ref="D31:D32" si="10">C31/(($D$8-$D$9)*1.163)</f>
        <v>343.93809114359414</v>
      </c>
      <c r="E31" s="36">
        <f>IF($I$6="2-Leiter",$W$29*D31^$W$30,$W$29*D31^$W$30)</f>
        <v>11.460619734582037</v>
      </c>
      <c r="F31" s="31">
        <f>VLOOKUP(B31,$N$27:$R$32,$Q$11,FALSE)*($I$10-(($I$8+$I$9)/2))/15.5</f>
        <v>1060</v>
      </c>
      <c r="G31" s="24">
        <f t="shared" ref="G31:G32" si="11">F31/(($I$9-$I$8)*1.163)</f>
        <v>182.28718830610489</v>
      </c>
      <c r="H31" s="25">
        <f>IF($I$6="2-Leiter",$W$29*G31^$W$30,$W$29*G31^$W$30)</f>
        <v>4.3347457504696987</v>
      </c>
      <c r="I31" s="49">
        <v>44</v>
      </c>
      <c r="J31" s="50">
        <f t="shared" si="8"/>
        <v>52</v>
      </c>
      <c r="K31" s="51">
        <v>14</v>
      </c>
      <c r="L31" s="29">
        <f t="shared" si="9"/>
        <v>419</v>
      </c>
      <c r="N31" s="1">
        <v>8</v>
      </c>
      <c r="O31" s="1">
        <v>4000</v>
      </c>
      <c r="P31" s="1">
        <v>3190</v>
      </c>
      <c r="Q31" s="1">
        <v>1060</v>
      </c>
      <c r="R31" s="1">
        <v>843</v>
      </c>
      <c r="S31" s="1">
        <v>419</v>
      </c>
      <c r="T31" s="1">
        <v>305</v>
      </c>
    </row>
    <row r="32" spans="1:23" x14ac:dyDescent="0.3">
      <c r="A32" s="43">
        <v>1</v>
      </c>
      <c r="B32" s="26">
        <v>10</v>
      </c>
      <c r="C32" s="31">
        <f>VLOOKUP(B32,$N$27:$R$32,$N$11,FALSE)*(($D$8+$D$9)/2-$D$10)/50</f>
        <v>4798</v>
      </c>
      <c r="D32" s="24">
        <f t="shared" si="10"/>
        <v>412.55374032674115</v>
      </c>
      <c r="E32" s="36">
        <f>IF($I$6="2-Leiter",$W$29*D32^$W$30,$W$29*D32^$W$30)</f>
        <v>15.142209267299743</v>
      </c>
      <c r="F32" s="31">
        <f>VLOOKUP(B32,$N$27:$R$32,$Q$11,FALSE)*($I$10-(($I$8+$I$9)/2))/15.5</f>
        <v>1270</v>
      </c>
      <c r="G32" s="24">
        <f t="shared" si="11"/>
        <v>218.40068787618227</v>
      </c>
      <c r="H32" s="25">
        <f>IF($I$6="2-Leiter",$W$29*G32^$W$30,$W$29*G32^$W$30)</f>
        <v>5.7170948760305089</v>
      </c>
      <c r="I32" s="49">
        <v>48.5</v>
      </c>
      <c r="J32" s="50">
        <f t="shared" si="8"/>
        <v>56.5</v>
      </c>
      <c r="K32" s="51">
        <v>24</v>
      </c>
      <c r="L32" s="29">
        <f t="shared" si="9"/>
        <v>492</v>
      </c>
      <c r="N32" s="1">
        <v>10</v>
      </c>
      <c r="O32" s="1">
        <v>4798</v>
      </c>
      <c r="P32" s="1">
        <v>3838</v>
      </c>
      <c r="Q32" s="1">
        <v>1270</v>
      </c>
      <c r="R32" s="1">
        <v>1016</v>
      </c>
      <c r="S32" s="1">
        <v>492</v>
      </c>
      <c r="T32" s="1">
        <v>400</v>
      </c>
      <c r="U32" s="41"/>
      <c r="V32" s="41"/>
    </row>
    <row r="33" spans="1:23" ht="16.95" customHeight="1" x14ac:dyDescent="0.3">
      <c r="A33" s="58" t="s">
        <v>48</v>
      </c>
      <c r="B33" s="59"/>
      <c r="C33" s="58"/>
      <c r="D33" s="60"/>
      <c r="E33" s="59"/>
      <c r="F33" s="59"/>
      <c r="G33" s="59"/>
      <c r="H33" s="59"/>
      <c r="I33" s="58"/>
      <c r="J33" s="59"/>
      <c r="K33" s="59"/>
      <c r="L33" s="60"/>
      <c r="N33" s="1" t="s">
        <v>40</v>
      </c>
      <c r="O33" s="1" t="s">
        <v>25</v>
      </c>
      <c r="P33" s="1" t="s">
        <v>23</v>
      </c>
      <c r="Q33" s="1" t="s">
        <v>24</v>
      </c>
      <c r="R33" s="1" t="s">
        <v>26</v>
      </c>
      <c r="S33" s="1" t="s">
        <v>27</v>
      </c>
      <c r="T33" s="1" t="s">
        <v>28</v>
      </c>
    </row>
    <row r="34" spans="1:23" x14ac:dyDescent="0.3">
      <c r="A34" s="43">
        <v>0.2</v>
      </c>
      <c r="B34" s="26">
        <v>2</v>
      </c>
      <c r="C34" s="31">
        <f>VLOOKUP(B34,$N$33:$R$36,$N$11,FALSE)*(($D$8+$D$9)/2-$D$10)/50</f>
        <v>3275</v>
      </c>
      <c r="D34" s="24">
        <f>C34/(($D$8-$D$9)*1.163)</f>
        <v>281.5993121238177</v>
      </c>
      <c r="E34" s="36">
        <f>IF($I$6="2-Leiter",$W$35*D34^$W$36,$W$35*D34^$W$36)</f>
        <v>7.5131461307054073</v>
      </c>
      <c r="F34" s="31">
        <f>VLOOKUP(B34,$N$33:$R$36,$Q$11,FALSE)*($I$10-(($I$8+$I$9)/2))/15.5</f>
        <v>817</v>
      </c>
      <c r="G34" s="24">
        <f>F34/(($I$9-$I$8)*1.163)</f>
        <v>140.4987102321582</v>
      </c>
      <c r="H34" s="25">
        <f>IF($I$6="2-Leiter",$W$35*G34^$W$36,$W$35*G34^$W$36)</f>
        <v>2.155456432310678</v>
      </c>
      <c r="I34" s="49">
        <v>26</v>
      </c>
      <c r="J34" s="50">
        <f>I34+8</f>
        <v>34</v>
      </c>
      <c r="K34" s="51">
        <v>2.8</v>
      </c>
      <c r="L34" s="29">
        <f>VLOOKUP(B34,$N$33:$T$38,$R$11,FALSE)</f>
        <v>190</v>
      </c>
      <c r="N34" s="1">
        <v>2</v>
      </c>
      <c r="O34" s="1">
        <v>3275</v>
      </c>
      <c r="P34" s="1">
        <v>2605</v>
      </c>
      <c r="Q34" s="1">
        <v>817</v>
      </c>
      <c r="R34" s="1">
        <v>685</v>
      </c>
      <c r="S34" s="1">
        <v>190</v>
      </c>
      <c r="T34" s="1">
        <v>98</v>
      </c>
      <c r="V34" s="1" t="s">
        <v>16</v>
      </c>
      <c r="W34" s="1" t="s">
        <v>17</v>
      </c>
    </row>
    <row r="35" spans="1:23" x14ac:dyDescent="0.3">
      <c r="A35" s="43">
        <v>0.4</v>
      </c>
      <c r="B35" s="26">
        <v>4</v>
      </c>
      <c r="C35" s="31">
        <f>VLOOKUP(B35,$N$33:$R$36,$N$11,FALSE)*(($D$8+$D$9)/2-$D$10)/50</f>
        <v>4020</v>
      </c>
      <c r="D35" s="24">
        <f>C35/(($D$8-$D$9)*1.163)</f>
        <v>345.6577815993121</v>
      </c>
      <c r="E35" s="36">
        <f>IF($I$6="2-Leiter",$W$35*D35^$W$36,$W$35*D35^$W$36)</f>
        <v>10.856295212967051</v>
      </c>
      <c r="F35" s="31">
        <f>VLOOKUP(B35,$N$33:$R$36,$Q$11,FALSE)*($I$10-(($I$8+$I$9)/2))/15.5</f>
        <v>848</v>
      </c>
      <c r="G35" s="24">
        <f>F35/(($I$9-$I$8)*1.163)</f>
        <v>145.82975064488392</v>
      </c>
      <c r="H35" s="25">
        <f>IF($I$6="2-Leiter",$W$35*G35^$W$36,$W$35*G35^$W$36)</f>
        <v>2.3045463408763132</v>
      </c>
      <c r="I35" s="49">
        <v>31.4</v>
      </c>
      <c r="J35" s="50">
        <f t="shared" ref="J35:J38" si="12">I35+8</f>
        <v>39.4</v>
      </c>
      <c r="K35" s="51">
        <v>5.5</v>
      </c>
      <c r="L35" s="29">
        <f t="shared" ref="L35:L38" si="13">VLOOKUP(B35,$N$33:$T$38,$R$11,FALSE)</f>
        <v>295</v>
      </c>
      <c r="N35" s="1">
        <v>4</v>
      </c>
      <c r="O35" s="1">
        <v>4020</v>
      </c>
      <c r="P35" s="1">
        <v>3002</v>
      </c>
      <c r="Q35" s="1">
        <v>848</v>
      </c>
      <c r="R35" s="1">
        <v>788</v>
      </c>
      <c r="S35" s="1">
        <v>295</v>
      </c>
      <c r="T35" s="1">
        <v>174</v>
      </c>
      <c r="V35" s="1" t="s">
        <v>20</v>
      </c>
      <c r="W35" s="1">
        <v>2.9962456348767911E-4</v>
      </c>
    </row>
    <row r="36" spans="1:23" x14ac:dyDescent="0.3">
      <c r="A36" s="43">
        <v>0.6</v>
      </c>
      <c r="B36" s="26">
        <v>6</v>
      </c>
      <c r="C36" s="31">
        <f>VLOOKUP(B36,$N$33:$R$36,$N$11,FALSE)*(($D$8+$D$9)/2-$D$10)/50</f>
        <v>4300</v>
      </c>
      <c r="D36" s="24">
        <f>C36/(($D$8-$D$9)*1.163)</f>
        <v>369.73344797936369</v>
      </c>
      <c r="E36" s="36">
        <f>IF($I$6="2-Leiter",$W$35*D36^$W$36,$W$35*D36^$W$36)</f>
        <v>12.251732070795414</v>
      </c>
      <c r="F36" s="31">
        <f>VLOOKUP(B36,$N$33:$R$36,$Q$11,FALSE)*($I$10-(($I$8+$I$9)/2))/15.5</f>
        <v>1125</v>
      </c>
      <c r="G36" s="24">
        <f>F36/(($I$9-$I$8)*1.163)</f>
        <v>193.4651762682717</v>
      </c>
      <c r="H36" s="25">
        <f>IF($I$6="2-Leiter",$W$35*G36^$W$36,$W$35*G36^$W$36)</f>
        <v>3.8286150001365091</v>
      </c>
      <c r="I36" s="49">
        <v>38.4</v>
      </c>
      <c r="J36" s="50">
        <f t="shared" si="12"/>
        <v>46.4</v>
      </c>
      <c r="K36" s="51">
        <v>10.3</v>
      </c>
      <c r="L36" s="29">
        <f t="shared" si="13"/>
        <v>410</v>
      </c>
      <c r="N36" s="1">
        <v>6</v>
      </c>
      <c r="O36" s="1">
        <v>4300</v>
      </c>
      <c r="P36" s="1">
        <v>3425</v>
      </c>
      <c r="Q36" s="1">
        <v>1125</v>
      </c>
      <c r="R36" s="1">
        <v>902</v>
      </c>
      <c r="S36" s="1">
        <v>410</v>
      </c>
      <c r="T36" s="1">
        <v>249</v>
      </c>
      <c r="V36" s="1" t="s">
        <v>20</v>
      </c>
      <c r="W36" s="1">
        <v>1.7958800173440754</v>
      </c>
    </row>
    <row r="37" spans="1:23" x14ac:dyDescent="0.3">
      <c r="A37" s="43">
        <v>0.8</v>
      </c>
      <c r="B37" s="26">
        <v>8</v>
      </c>
      <c r="C37" s="31">
        <f>VLOOKUP(B37,$N$33:$R$38,$N$11,FALSE)*(($D$8+$D$9)/2-$D$10)/50</f>
        <v>4611</v>
      </c>
      <c r="D37" s="24">
        <f t="shared" ref="D37:D38" si="14">C37/(($D$8-$D$9)*1.163)</f>
        <v>396.47463456577816</v>
      </c>
      <c r="E37" s="36">
        <f>IF($I$6="2-Leiter",$W$35*D37^$W$36,$W$35*D37^$W$36)</f>
        <v>13.888666366092492</v>
      </c>
      <c r="F37" s="31">
        <f>VLOOKUP(B37,$N$33:$R$38,$Q$11,FALSE)*($I$10-(($I$8+$I$9)/2))/15.5</f>
        <v>1330</v>
      </c>
      <c r="G37" s="24">
        <f t="shared" ref="G37:G38" si="15">F37/(($I$9-$I$8)*1.163)</f>
        <v>228.7188306104901</v>
      </c>
      <c r="H37" s="25">
        <f>IF($I$6="2-Leiter",$W$35*G37^$W$36,$W$35*G37^$W$36)</f>
        <v>5.1713102135749969</v>
      </c>
      <c r="I37" s="49">
        <v>44.2</v>
      </c>
      <c r="J37" s="50">
        <f t="shared" si="12"/>
        <v>52.2</v>
      </c>
      <c r="K37" s="51">
        <v>18.5</v>
      </c>
      <c r="L37" s="29">
        <f t="shared" si="13"/>
        <v>512</v>
      </c>
      <c r="N37" s="1">
        <v>8</v>
      </c>
      <c r="O37" s="1">
        <v>4611</v>
      </c>
      <c r="P37" s="1">
        <v>4001</v>
      </c>
      <c r="Q37" s="1">
        <v>1330</v>
      </c>
      <c r="R37" s="1">
        <v>1060</v>
      </c>
      <c r="S37" s="1">
        <v>512</v>
      </c>
      <c r="T37" s="1">
        <v>318</v>
      </c>
    </row>
    <row r="38" spans="1:23" x14ac:dyDescent="0.3">
      <c r="A38" s="44">
        <v>1</v>
      </c>
      <c r="B38" s="45">
        <v>10</v>
      </c>
      <c r="C38" s="46">
        <f>VLOOKUP(B38,$N$33:$R$38,$N$11,FALSE)*(($D$8+$D$9)/2-$D$10)/50</f>
        <v>5983</v>
      </c>
      <c r="D38" s="47">
        <f t="shared" si="14"/>
        <v>514.44539982803087</v>
      </c>
      <c r="E38" s="48">
        <f>IF($I$6="2-Leiter",$W$35*D38^$W$36,$W$35*D38^$W$36)</f>
        <v>22.172642876670661</v>
      </c>
      <c r="F38" s="46">
        <f>VLOOKUP(B38,$N$33:$R$38,$Q$11,FALSE)*($I$10-(($I$8+$I$9)/2))/15.5</f>
        <v>1584</v>
      </c>
      <c r="G38" s="47">
        <f t="shared" si="15"/>
        <v>272.39896818572657</v>
      </c>
      <c r="H38" s="48">
        <f>IF($I$6="2-Leiter",$W$35*G38^$W$36,$W$35*G38^$W$36)</f>
        <v>7.0780599190868552</v>
      </c>
      <c r="I38" s="52">
        <v>48</v>
      </c>
      <c r="J38" s="53">
        <f t="shared" si="12"/>
        <v>56</v>
      </c>
      <c r="K38" s="54">
        <v>28.8</v>
      </c>
      <c r="L38" s="29">
        <f t="shared" si="13"/>
        <v>560</v>
      </c>
      <c r="N38" s="1">
        <v>10</v>
      </c>
      <c r="O38" s="1">
        <v>5983</v>
      </c>
      <c r="P38" s="1">
        <v>4786</v>
      </c>
      <c r="Q38" s="1">
        <v>1584</v>
      </c>
      <c r="R38" s="1">
        <v>1264</v>
      </c>
      <c r="S38" s="1">
        <v>560</v>
      </c>
      <c r="T38" s="1">
        <v>420</v>
      </c>
    </row>
    <row r="39" spans="1:23" ht="10.199999999999999" customHeight="1" x14ac:dyDescent="0.3">
      <c r="A39" s="4" t="s">
        <v>31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57" t="s">
        <v>49</v>
      </c>
    </row>
    <row r="40" spans="1:23" ht="12.6" customHeight="1" x14ac:dyDescent="0.3">
      <c r="A40" s="5" t="s">
        <v>32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23" s="3" customFormat="1" ht="16.05" customHeight="1" x14ac:dyDescent="0.3"/>
    <row r="42" spans="1:23" hidden="1" x14ac:dyDescent="0.3"/>
    <row r="43" spans="1:23" hidden="1" x14ac:dyDescent="0.3"/>
    <row r="44" spans="1:23" hidden="1" x14ac:dyDescent="0.3"/>
    <row r="45" spans="1:23" hidden="1" x14ac:dyDescent="0.3"/>
    <row r="46" spans="1:23" hidden="1" x14ac:dyDescent="0.3"/>
    <row r="47" spans="1:23" hidden="1" x14ac:dyDescent="0.3"/>
    <row r="48" spans="1:23" hidden="1" x14ac:dyDescent="0.3"/>
  </sheetData>
  <sheetProtection algorithmName="SHA-512" hashValue="54F807rzrb2sXvSURvug2sxWNbroqXKzd0VOFNb7FTLmdVOoS+I53X2hUfMv/xh9ktd+jKN+iy9rc6y3DfTs9w==" saltValue="WTBEjKUe0tceBM+kQxU72g==" spinCount="100000" sheet="1" objects="1" scenarios="1" selectLockedCells="1"/>
  <dataConsolidate/>
  <mergeCells count="10">
    <mergeCell ref="A33:L33"/>
    <mergeCell ref="A27:L27"/>
    <mergeCell ref="A21:L21"/>
    <mergeCell ref="A15:L15"/>
    <mergeCell ref="A8:C8"/>
    <mergeCell ref="A9:C9"/>
    <mergeCell ref="A10:C10"/>
    <mergeCell ref="F8:H8"/>
    <mergeCell ref="F9:H9"/>
    <mergeCell ref="F10:H10"/>
  </mergeCells>
  <phoneticPr fontId="4" type="noConversion"/>
  <dataValidations xWindow="659" yWindow="405" count="7">
    <dataValidation type="whole" errorStyle="information" allowBlank="1" showErrorMessage="1" error="Eingabe außerhalb des gültigen Bereichs." prompt="Eingabe zwischen 5°C bis 20°C" sqref="I8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I9">
      <formula1>I8</formula1>
      <formula2>I10</formula2>
    </dataValidation>
    <dataValidation type="whole" errorStyle="information" allowBlank="1" showErrorMessage="1" error="Temperatur außerhalb des gütligen Bereichs." prompt="Eingabe zwischen 30°C bis 95°C" sqref="D8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>
      <formula1>16</formula1>
      <formula2>30</formula2>
    </dataValidation>
    <dataValidation type="whole" errorStyle="information" allowBlank="1" showErrorMessage="1" error="Eingabe außerhalb des gültigen Bereichs." prompt="20°C bis 35°C" sqref="I10">
      <formula1>20</formula1>
      <formula2>35</formula2>
    </dataValidation>
    <dataValidation type="list" allowBlank="1" showInputMessage="1" showErrorMessage="1" sqref="I6">
      <formula1>Systemauswahl</formula1>
    </dataValidation>
  </dataValidations>
  <pageMargins left="0.5" right="0.47222222222222221" top="1.0555555555555556" bottom="0.81944444444444442" header="0.43055555555555558" footer="0.40277777777777779"/>
  <pageSetup paperSize="9" orientation="portrait" r:id="rId1"/>
  <headerFooter>
    <oddHeader>&amp;L&amp;G&amp;C&amp;16&amp;K00-036Briza Einbau Auslegung Höhe 038
Heizen und Kühlen</oddHeader>
    <oddFooter>&amp;C&amp;8JAGA Deutschland GmbH • Neuer Zollhof 1 • 40221 Düsseldorf  • T +49 (0) 211 310 27 30 • info@jaga.de • www.jaga-deutschland.de_x000D_KBC Iban: DE58 3052 4400 0000 2837 88  • Bic: KREDDEDDXXX  • Amtsgericht Düsseldorf  • HRB32157 • UST Nr: DE174665903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tabSelected="1" showRuler="0" topLeftCell="A13" zoomScale="85" zoomScaleNormal="85" workbookViewId="0">
      <selection activeCell="I6" sqref="I6"/>
    </sheetView>
  </sheetViews>
  <sheetFormatPr baseColWidth="10" defaultColWidth="0" defaultRowHeight="14.4" zeroHeight="1" x14ac:dyDescent="0.3"/>
  <cols>
    <col min="1" max="1" width="7" style="1" customWidth="1"/>
    <col min="2" max="2" width="6.109375" style="1" customWidth="1"/>
    <col min="3" max="3" width="7" style="1" customWidth="1"/>
    <col min="4" max="4" width="6.77734375" style="1" customWidth="1"/>
    <col min="5" max="9" width="7" style="1" customWidth="1"/>
    <col min="10" max="10" width="7.5546875" style="1" bestFit="1" customWidth="1"/>
    <col min="11" max="12" width="7" style="1" customWidth="1"/>
    <col min="13" max="13" width="2.33203125" style="1" customWidth="1"/>
    <col min="14" max="16384" width="11.44140625" style="1" hidden="1"/>
  </cols>
  <sheetData>
    <row r="1" spans="1:23" s="3" customFormat="1" x14ac:dyDescent="0.3">
      <c r="A1" s="21"/>
      <c r="L1" s="40" t="s">
        <v>14</v>
      </c>
    </row>
    <row r="2" spans="1:23" s="3" customFormat="1" x14ac:dyDescent="0.3">
      <c r="A2" s="23" t="s">
        <v>9</v>
      </c>
      <c r="B2" s="22"/>
      <c r="L2" s="40" t="s">
        <v>15</v>
      </c>
    </row>
    <row r="3" spans="1:23" s="3" customFormat="1" x14ac:dyDescent="0.3">
      <c r="A3" s="21"/>
    </row>
    <row r="4" spans="1:23" s="3" customFormat="1" x14ac:dyDescent="0.3">
      <c r="A4" s="32" t="s">
        <v>11</v>
      </c>
    </row>
    <row r="5" spans="1:23" s="3" customFormat="1" ht="6" customHeigh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23" x14ac:dyDescent="0.3">
      <c r="A6" s="12" t="s">
        <v>10</v>
      </c>
      <c r="B6" s="6"/>
      <c r="C6" s="6"/>
      <c r="D6" s="6"/>
      <c r="E6" s="6"/>
      <c r="F6" s="6"/>
      <c r="G6" s="56" t="s">
        <v>13</v>
      </c>
      <c r="H6" s="6"/>
      <c r="I6" s="39" t="s">
        <v>14</v>
      </c>
      <c r="J6" s="6"/>
      <c r="K6" s="6"/>
      <c r="L6" s="13"/>
    </row>
    <row r="7" spans="1:23" x14ac:dyDescent="0.3">
      <c r="A7" s="12" t="s">
        <v>6</v>
      </c>
      <c r="B7" s="6"/>
      <c r="C7" s="6"/>
      <c r="D7" s="6"/>
      <c r="E7" s="6"/>
      <c r="F7" s="7" t="s">
        <v>12</v>
      </c>
      <c r="G7" s="7"/>
      <c r="H7" s="6"/>
      <c r="I7" s="6"/>
      <c r="J7" s="6"/>
      <c r="K7" s="33"/>
      <c r="L7" s="13"/>
    </row>
    <row r="8" spans="1:23" x14ac:dyDescent="0.3">
      <c r="A8" s="61" t="s">
        <v>0</v>
      </c>
      <c r="B8" s="62"/>
      <c r="C8" s="62"/>
      <c r="D8" s="34">
        <v>75</v>
      </c>
      <c r="E8" s="42"/>
      <c r="F8" s="62" t="s">
        <v>0</v>
      </c>
      <c r="G8" s="62"/>
      <c r="H8" s="62"/>
      <c r="I8" s="34">
        <v>7</v>
      </c>
      <c r="J8" s="6"/>
      <c r="K8" s="6"/>
      <c r="L8" s="13"/>
    </row>
    <row r="9" spans="1:23" x14ac:dyDescent="0.3">
      <c r="A9" s="61" t="s">
        <v>8</v>
      </c>
      <c r="B9" s="62"/>
      <c r="C9" s="62"/>
      <c r="D9" s="34">
        <v>65</v>
      </c>
      <c r="E9" s="42"/>
      <c r="F9" s="62" t="s">
        <v>8</v>
      </c>
      <c r="G9" s="62"/>
      <c r="H9" s="62"/>
      <c r="I9" s="34">
        <v>12</v>
      </c>
      <c r="J9" s="6"/>
      <c r="K9" s="6"/>
      <c r="L9" s="13"/>
    </row>
    <row r="10" spans="1:23" x14ac:dyDescent="0.3">
      <c r="A10" s="61" t="s">
        <v>1</v>
      </c>
      <c r="B10" s="62"/>
      <c r="C10" s="62"/>
      <c r="D10" s="34">
        <v>20</v>
      </c>
      <c r="E10" s="42"/>
      <c r="F10" s="62" t="s">
        <v>1</v>
      </c>
      <c r="G10" s="62"/>
      <c r="H10" s="62"/>
      <c r="I10" s="34">
        <v>25</v>
      </c>
      <c r="J10" s="6"/>
      <c r="K10" s="6"/>
      <c r="L10" s="13"/>
    </row>
    <row r="11" spans="1:23" x14ac:dyDescent="0.3">
      <c r="A11" s="14"/>
      <c r="B11" s="6"/>
      <c r="C11" s="6"/>
      <c r="D11" s="6"/>
      <c r="E11" s="6"/>
      <c r="F11" s="6"/>
      <c r="G11" s="6"/>
      <c r="H11" s="6"/>
      <c r="I11" s="6"/>
      <c r="J11" s="6"/>
      <c r="K11" s="6"/>
      <c r="L11" s="13"/>
      <c r="N11" s="1">
        <f>IF(I6="2-Leiter",2,3)</f>
        <v>2</v>
      </c>
      <c r="Q11" s="1">
        <f>IF($I$6="2-Leiter",4,5)</f>
        <v>4</v>
      </c>
      <c r="R11" s="1">
        <f>IF($I$6="2-Leiter",6,7)</f>
        <v>6</v>
      </c>
    </row>
    <row r="12" spans="1:23" ht="6" customHeight="1" x14ac:dyDescent="0.3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8"/>
    </row>
    <row r="13" spans="1:23" ht="14.4" customHeight="1" x14ac:dyDescent="0.3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23" s="2" customFormat="1" ht="101.4" customHeight="1" x14ac:dyDescent="0.3">
      <c r="A14" s="30" t="s">
        <v>2</v>
      </c>
      <c r="B14" s="19" t="s">
        <v>3</v>
      </c>
      <c r="C14" s="30" t="str">
        <f>CONCATENATE("Wärmeleistung ",D8,"/",D9,"/",D10," [W]")</f>
        <v>Wärmeleistung 75/65/20 [W]</v>
      </c>
      <c r="D14" s="35" t="s">
        <v>5</v>
      </c>
      <c r="E14" s="38" t="s">
        <v>22</v>
      </c>
      <c r="F14" s="19" t="str">
        <f>CONCATENATE("Tot. Kälteleistung ",I8,"/",I9,"/",I10," [W]")</f>
        <v>Tot. Kälteleistung 7/12/25 [W]</v>
      </c>
      <c r="G14" s="19" t="s">
        <v>7</v>
      </c>
      <c r="H14" s="20" t="s">
        <v>22</v>
      </c>
      <c r="I14" s="30" t="s">
        <v>30</v>
      </c>
      <c r="J14" s="37" t="s">
        <v>29</v>
      </c>
      <c r="K14" s="19" t="s">
        <v>21</v>
      </c>
      <c r="L14" s="28" t="s">
        <v>4</v>
      </c>
    </row>
    <row r="15" spans="1:23" ht="18" customHeight="1" x14ac:dyDescent="0.3">
      <c r="A15" s="58" t="s">
        <v>33</v>
      </c>
      <c r="B15" s="59"/>
      <c r="C15" s="58"/>
      <c r="D15" s="60"/>
      <c r="E15" s="59"/>
      <c r="F15" s="59"/>
      <c r="G15" s="59"/>
      <c r="H15" s="59"/>
      <c r="I15" s="58"/>
      <c r="J15" s="59"/>
      <c r="K15" s="59"/>
      <c r="L15" s="60"/>
      <c r="N15" s="1" t="s">
        <v>41</v>
      </c>
      <c r="O15" s="1" t="s">
        <v>25</v>
      </c>
      <c r="P15" s="1" t="s">
        <v>23</v>
      </c>
      <c r="Q15" s="1" t="s">
        <v>24</v>
      </c>
      <c r="R15" s="1" t="s">
        <v>26</v>
      </c>
      <c r="S15" s="1" t="s">
        <v>27</v>
      </c>
      <c r="T15" s="1" t="s">
        <v>28</v>
      </c>
      <c r="V15" s="1" t="s">
        <v>16</v>
      </c>
      <c r="W15" s="1" t="s">
        <v>17</v>
      </c>
    </row>
    <row r="16" spans="1:23" x14ac:dyDescent="0.3">
      <c r="A16" s="43">
        <v>0.2</v>
      </c>
      <c r="B16" s="26">
        <v>2</v>
      </c>
      <c r="C16" s="31">
        <f>VLOOKUP(B16,$N$15:$P$20,$N$11,FALSE)*(($D$8+$D$9)/2-$D$10)/50</f>
        <v>1500</v>
      </c>
      <c r="D16" s="24">
        <f>C16/(($D$8-$D$9)*1.163)</f>
        <v>128.97678417884779</v>
      </c>
      <c r="E16" s="36">
        <f>IF($J$12="2-Leiter",$V$16*D16^$V$17,$W$16*D16^$W$17)</f>
        <v>0.60446567527715234</v>
      </c>
      <c r="F16" s="31">
        <f>VLOOKUP(B16,$N$15:$R$20,$Q$11,FALSE)*($I$10-(($I$8+$I$9)/2))/15.5</f>
        <v>386</v>
      </c>
      <c r="G16" s="24">
        <f>F16/(($I$9-$I$8)*1.163)</f>
        <v>66.380051590713663</v>
      </c>
      <c r="H16" s="25">
        <f>IF($J$12="2-Leiter",$V$16*G16^$V$17,$V$16*G16^$V$17)</f>
        <v>0.41455995466188444</v>
      </c>
      <c r="I16" s="49">
        <v>21</v>
      </c>
      <c r="J16" s="50">
        <f>I16+8</f>
        <v>29</v>
      </c>
      <c r="K16" s="51">
        <v>2</v>
      </c>
      <c r="L16" s="29">
        <f>VLOOKUP(B16,$N$15:$T$20,$R$11,FALSE)</f>
        <v>89</v>
      </c>
      <c r="N16" s="1">
        <v>2</v>
      </c>
      <c r="O16" s="1">
        <v>1500</v>
      </c>
      <c r="P16" s="1">
        <v>640</v>
      </c>
      <c r="Q16" s="1">
        <v>386</v>
      </c>
      <c r="R16" s="1">
        <v>296</v>
      </c>
      <c r="S16" s="1">
        <v>89</v>
      </c>
      <c r="T16" s="1">
        <v>30</v>
      </c>
      <c r="U16" s="1" t="s">
        <v>18</v>
      </c>
      <c r="V16" s="1">
        <v>1.5891147213811018E-4</v>
      </c>
      <c r="W16" s="1">
        <v>5.9464479463497603E-5</v>
      </c>
    </row>
    <row r="17" spans="1:23" x14ac:dyDescent="0.3">
      <c r="A17" s="43">
        <v>0.4</v>
      </c>
      <c r="B17" s="26">
        <v>4</v>
      </c>
      <c r="C17" s="31">
        <f>VLOOKUP(B17,$N$15:$P$20,$N$11,FALSE)*(($D$8+$D$9)/2-$D$10)/50</f>
        <v>1750</v>
      </c>
      <c r="D17" s="24">
        <f t="shared" ref="D17:D20" si="0">C17/(($D$8-$D$9)*1.163)</f>
        <v>150.47291487532243</v>
      </c>
      <c r="E17" s="36">
        <f t="shared" ref="E17:E20" si="1">IF($J$12="2-Leiter",$V$16*D17^$V$17,$W$16*D17^$W$17)</f>
        <v>0.80999043400669868</v>
      </c>
      <c r="F17" s="31">
        <f>VLOOKUP(B17,$N$15:$R$20,$Q$11,FALSE)*($I$10-(($I$8+$I$9)/2))/15.5</f>
        <v>459</v>
      </c>
      <c r="G17" s="24">
        <f t="shared" ref="G17:G20" si="2">F17/(($I$9-$I$8)*1.163)</f>
        <v>78.933791917454855</v>
      </c>
      <c r="H17" s="25">
        <f t="shared" ref="H17:H19" si="3">IF($J$12="2-Leiter",$V$16*G17^$V$17,$V$16*G17^$V$17)</f>
        <v>0.573640156782386</v>
      </c>
      <c r="I17" s="49">
        <v>27</v>
      </c>
      <c r="J17" s="50">
        <f t="shared" ref="J17:J20" si="4">I17+8</f>
        <v>35</v>
      </c>
      <c r="K17" s="51">
        <v>3.2</v>
      </c>
      <c r="L17" s="29">
        <f t="shared" ref="L17:L20" si="5">VLOOKUP(B17,$N$15:$T$20,$R$11,FALSE)</f>
        <v>130</v>
      </c>
      <c r="N17" s="1">
        <v>4</v>
      </c>
      <c r="O17" s="1">
        <v>1750</v>
      </c>
      <c r="P17" s="1">
        <v>726</v>
      </c>
      <c r="Q17" s="1">
        <v>459</v>
      </c>
      <c r="R17" s="1">
        <v>350</v>
      </c>
      <c r="S17" s="1">
        <v>130</v>
      </c>
      <c r="T17" s="1">
        <v>74</v>
      </c>
      <c r="U17" s="1" t="s">
        <v>19</v>
      </c>
      <c r="V17" s="1">
        <v>1.8750612633916997</v>
      </c>
      <c r="W17" s="1">
        <v>1.89864586792692</v>
      </c>
    </row>
    <row r="18" spans="1:23" x14ac:dyDescent="0.3">
      <c r="A18" s="43">
        <v>0.6</v>
      </c>
      <c r="B18" s="26">
        <v>6</v>
      </c>
      <c r="C18" s="31">
        <f>VLOOKUP(B18,$N$15:$P$20,$N$11,FALSE)*(($D$8+$D$9)/2-$D$10)/50</f>
        <v>2110</v>
      </c>
      <c r="D18" s="24">
        <f t="shared" si="0"/>
        <v>181.42734307824591</v>
      </c>
      <c r="E18" s="36">
        <f t="shared" si="1"/>
        <v>1.1554050111192318</v>
      </c>
      <c r="F18" s="31">
        <f>VLOOKUP(B18,$N$15:$R$20,$Q$11,FALSE)*($I$10-(($I$8+$I$9)/2))/15.5</f>
        <v>550</v>
      </c>
      <c r="G18" s="24">
        <f t="shared" si="2"/>
        <v>94.58297506448838</v>
      </c>
      <c r="H18" s="25">
        <f t="shared" si="3"/>
        <v>0.80524051047747791</v>
      </c>
      <c r="I18" s="49">
        <v>33.9</v>
      </c>
      <c r="J18" s="50">
        <f t="shared" si="4"/>
        <v>41.9</v>
      </c>
      <c r="K18" s="51">
        <v>5.5</v>
      </c>
      <c r="L18" s="29">
        <f t="shared" si="5"/>
        <v>169</v>
      </c>
      <c r="N18" s="1">
        <v>6</v>
      </c>
      <c r="O18" s="1">
        <v>2110</v>
      </c>
      <c r="P18" s="1">
        <v>829</v>
      </c>
      <c r="Q18" s="1">
        <v>550</v>
      </c>
      <c r="R18" s="1">
        <v>420</v>
      </c>
      <c r="S18" s="1">
        <v>169</v>
      </c>
      <c r="T18" s="1">
        <v>118</v>
      </c>
    </row>
    <row r="19" spans="1:23" x14ac:dyDescent="0.3">
      <c r="A19" s="43">
        <v>0.8</v>
      </c>
      <c r="B19" s="26">
        <v>8</v>
      </c>
      <c r="C19" s="31">
        <f>VLOOKUP(B19,$N$15:$P$20,$N$11,FALSE)*(($D$8+$D$9)/2-$D$10)/50</f>
        <v>2400</v>
      </c>
      <c r="D19" s="24">
        <f t="shared" si="0"/>
        <v>206.36285468615648</v>
      </c>
      <c r="E19" s="36">
        <f t="shared" si="1"/>
        <v>1.475445615003937</v>
      </c>
      <c r="F19" s="31">
        <f>VLOOKUP(B19,$N$15:$R$20,$Q$11,FALSE)*($I$10-(($I$8+$I$9)/2))/15.5</f>
        <v>655</v>
      </c>
      <c r="G19" s="24">
        <f t="shared" si="2"/>
        <v>112.63972484952708</v>
      </c>
      <c r="H19" s="25">
        <f t="shared" si="3"/>
        <v>1.1173845413748023</v>
      </c>
      <c r="I19" s="49">
        <v>39.700000000000003</v>
      </c>
      <c r="J19" s="50">
        <f t="shared" si="4"/>
        <v>47.7</v>
      </c>
      <c r="K19" s="51">
        <v>9.6</v>
      </c>
      <c r="L19" s="29">
        <f t="shared" si="5"/>
        <v>212</v>
      </c>
      <c r="N19" s="1">
        <v>8</v>
      </c>
      <c r="O19" s="1">
        <v>2400</v>
      </c>
      <c r="P19" s="1">
        <v>970</v>
      </c>
      <c r="Q19" s="1">
        <v>655</v>
      </c>
      <c r="R19" s="1">
        <v>480</v>
      </c>
      <c r="S19" s="1">
        <v>212</v>
      </c>
      <c r="T19" s="1">
        <v>151</v>
      </c>
    </row>
    <row r="20" spans="1:23" x14ac:dyDescent="0.3">
      <c r="A20" s="43">
        <v>1</v>
      </c>
      <c r="B20" s="26">
        <v>10</v>
      </c>
      <c r="C20" s="31">
        <f>VLOOKUP(B20,$N$15:$P$20,$N$11,FALSE)*(($D$8+$D$9)/2-$D$10)/50</f>
        <v>2717</v>
      </c>
      <c r="D20" s="24">
        <f t="shared" si="0"/>
        <v>233.61994840928631</v>
      </c>
      <c r="E20" s="36">
        <f t="shared" si="1"/>
        <v>1.8673219457346186</v>
      </c>
      <c r="F20" s="31">
        <f>VLOOKUP(B20,$N$15:$R$20,$Q$11,FALSE)*($I$10-(($I$8+$I$9)/2))/15.5</f>
        <v>721</v>
      </c>
      <c r="G20" s="24">
        <f t="shared" si="2"/>
        <v>123.98968185726568</v>
      </c>
      <c r="H20" s="25">
        <f>IF($J$12="2-Leiter",$V$16*G20^$V$17,$V$16*G20^$V$17)</f>
        <v>1.3377698288073556</v>
      </c>
      <c r="I20" s="49">
        <v>44</v>
      </c>
      <c r="J20" s="50">
        <f t="shared" si="4"/>
        <v>52</v>
      </c>
      <c r="K20" s="51">
        <v>16.8</v>
      </c>
      <c r="L20" s="29">
        <f t="shared" si="5"/>
        <v>250</v>
      </c>
      <c r="N20" s="1">
        <v>10</v>
      </c>
      <c r="O20" s="1">
        <v>2717</v>
      </c>
      <c r="P20" s="1">
        <v>1157</v>
      </c>
      <c r="Q20" s="1">
        <v>721</v>
      </c>
      <c r="R20" s="1">
        <v>541</v>
      </c>
      <c r="S20" s="1">
        <v>250</v>
      </c>
      <c r="T20" s="1">
        <v>188</v>
      </c>
    </row>
    <row r="21" spans="1:23" ht="16.95" customHeight="1" x14ac:dyDescent="0.3">
      <c r="A21" s="58" t="s">
        <v>34</v>
      </c>
      <c r="B21" s="59"/>
      <c r="C21" s="58"/>
      <c r="D21" s="60"/>
      <c r="E21" s="59"/>
      <c r="F21" s="59"/>
      <c r="G21" s="59"/>
      <c r="H21" s="59"/>
      <c r="I21" s="58"/>
      <c r="J21" s="59"/>
      <c r="K21" s="59"/>
      <c r="L21" s="60"/>
      <c r="N21" s="1" t="s">
        <v>42</v>
      </c>
      <c r="O21" s="1" t="s">
        <v>25</v>
      </c>
      <c r="P21" s="1" t="s">
        <v>23</v>
      </c>
      <c r="Q21" s="1" t="s">
        <v>24</v>
      </c>
      <c r="R21" s="1" t="s">
        <v>26</v>
      </c>
      <c r="S21" s="1" t="s">
        <v>27</v>
      </c>
      <c r="T21" s="1" t="s">
        <v>28</v>
      </c>
      <c r="V21" s="1" t="s">
        <v>16</v>
      </c>
      <c r="W21" s="1" t="s">
        <v>17</v>
      </c>
    </row>
    <row r="22" spans="1:23" x14ac:dyDescent="0.3">
      <c r="A22" s="43">
        <v>0.2</v>
      </c>
      <c r="B22" s="26">
        <v>2</v>
      </c>
      <c r="C22" s="31">
        <f>VLOOKUP(B22,$N$21:$R$26,$N$11,FALSE)*(($D$8+$D$9)/2-$D$10)/50</f>
        <v>2465</v>
      </c>
      <c r="D22" s="24">
        <f>C22/(($D$8-$D$9)*1.163)</f>
        <v>211.95184866723989</v>
      </c>
      <c r="E22" s="36">
        <f>IF($J$12="2-Leiter",$V$22*D22^$V$23,$W$22*D22^$W$23)</f>
        <v>2.5179614039952436</v>
      </c>
      <c r="F22" s="31">
        <f>VLOOKUP(B22,$N$21:$R$26,$Q$11,FALSE)*($I$10-(($I$8+$I$9)/2))/15.5</f>
        <v>660</v>
      </c>
      <c r="G22" s="24">
        <f>F22/(($I$9-$I$8)*1.163)</f>
        <v>113.49957007738607</v>
      </c>
      <c r="H22" s="25">
        <f>IF($J$12="2-Leiter",$V$22*G22^$V$23,$V$22*G22^$V$23)</f>
        <v>1.2868686563865779</v>
      </c>
      <c r="I22" s="49">
        <v>21.8</v>
      </c>
      <c r="J22" s="50">
        <f>I22+8</f>
        <v>29.8</v>
      </c>
      <c r="K22" s="51">
        <v>2.2000000000000002</v>
      </c>
      <c r="L22" s="29">
        <f>VLOOKUP(B22,$N$21:$T$26,$R$11,FALSE)</f>
        <v>127</v>
      </c>
      <c r="N22" s="1">
        <v>2</v>
      </c>
      <c r="O22" s="1">
        <v>2465</v>
      </c>
      <c r="P22" s="1">
        <v>1050</v>
      </c>
      <c r="Q22" s="1">
        <v>660</v>
      </c>
      <c r="R22" s="1">
        <v>482</v>
      </c>
      <c r="S22" s="1">
        <v>127</v>
      </c>
      <c r="T22" s="1">
        <v>79</v>
      </c>
      <c r="V22" s="1">
        <v>1.0387677513695474E-4</v>
      </c>
      <c r="W22" s="1">
        <v>1.4693140369194315E-4</v>
      </c>
    </row>
    <row r="23" spans="1:23" x14ac:dyDescent="0.3">
      <c r="A23" s="43">
        <v>0.4</v>
      </c>
      <c r="B23" s="26">
        <v>4</v>
      </c>
      <c r="C23" s="31">
        <f>VLOOKUP(B23,$N$21:$R$26,$N$11,FALSE)*(($D$8+$D$9)/2-$D$10)/50</f>
        <v>1930</v>
      </c>
      <c r="D23" s="24">
        <f t="shared" ref="D23:D26" si="6">C23/(($D$8-$D$9)*1.163)</f>
        <v>165.95012897678416</v>
      </c>
      <c r="E23" s="36">
        <f t="shared" ref="E23:E26" si="7">IF($J$12="2-Leiter",$V$22*D23^$V$23,$W$22*D23^$W$23)</f>
        <v>1.6130514644427647</v>
      </c>
      <c r="F23" s="31">
        <f>VLOOKUP(B23,$N$21:$R$26,$Q$11,FALSE)*($I$10-(($I$8+$I$9)/2))/15.5</f>
        <v>778</v>
      </c>
      <c r="G23" s="24">
        <f t="shared" ref="G23:G26" si="8">F23/(($I$9-$I$8)*1.163)</f>
        <v>133.79191745485812</v>
      </c>
      <c r="H23" s="25">
        <f t="shared" ref="H23:H26" si="9">IF($J$12="2-Leiter",$V$22*G23^$V$23,$V$22*G23^$V$23)</f>
        <v>1.7857289627539079</v>
      </c>
      <c r="I23" s="49">
        <v>27.2</v>
      </c>
      <c r="J23" s="50">
        <f>I23+8</f>
        <v>35.200000000000003</v>
      </c>
      <c r="K23" s="51">
        <v>3.6</v>
      </c>
      <c r="L23" s="29">
        <f t="shared" ref="L23:L26" si="10">VLOOKUP(B23,$N$21:$T$26,$R$11,FALSE)</f>
        <v>193</v>
      </c>
      <c r="N23" s="1">
        <v>4</v>
      </c>
      <c r="O23" s="1">
        <v>1930</v>
      </c>
      <c r="P23" s="1">
        <v>1176</v>
      </c>
      <c r="Q23" s="1">
        <v>778</v>
      </c>
      <c r="R23" s="1">
        <v>580</v>
      </c>
      <c r="S23" s="1">
        <v>193</v>
      </c>
      <c r="T23" s="1">
        <v>135</v>
      </c>
      <c r="V23" s="1">
        <v>1.9917407707707182</v>
      </c>
      <c r="W23" s="1">
        <v>1.82007854790934</v>
      </c>
    </row>
    <row r="24" spans="1:23" x14ac:dyDescent="0.3">
      <c r="A24" s="43">
        <v>0.6</v>
      </c>
      <c r="B24" s="26">
        <v>6</v>
      </c>
      <c r="C24" s="31">
        <f>VLOOKUP(B24,$N$21:$R$26,$N$11,FALSE)*(($D$8+$D$9)/2-$D$10)/50</f>
        <v>3500</v>
      </c>
      <c r="D24" s="24">
        <f t="shared" si="6"/>
        <v>300.94582975064486</v>
      </c>
      <c r="E24" s="36">
        <f t="shared" si="7"/>
        <v>4.7660442212558509</v>
      </c>
      <c r="F24" s="31">
        <f>VLOOKUP(B24,$N$21:$R$26,$Q$11,FALSE)*($I$10-(($I$8+$I$9)/2))/15.5</f>
        <v>920</v>
      </c>
      <c r="G24" s="24">
        <f t="shared" si="8"/>
        <v>158.21152192605331</v>
      </c>
      <c r="H24" s="25">
        <f t="shared" si="9"/>
        <v>2.4936222440396225</v>
      </c>
      <c r="I24" s="49">
        <v>34.6</v>
      </c>
      <c r="J24" s="50">
        <f>I24+8</f>
        <v>42.6</v>
      </c>
      <c r="K24" s="51">
        <v>5.7</v>
      </c>
      <c r="L24" s="29">
        <f t="shared" si="10"/>
        <v>262</v>
      </c>
      <c r="N24" s="1">
        <v>6</v>
      </c>
      <c r="O24" s="1">
        <v>3500</v>
      </c>
      <c r="P24" s="1">
        <v>1315</v>
      </c>
      <c r="Q24" s="1">
        <v>920</v>
      </c>
      <c r="R24" s="1">
        <v>692</v>
      </c>
      <c r="S24" s="1">
        <v>262</v>
      </c>
      <c r="T24" s="1">
        <v>185</v>
      </c>
    </row>
    <row r="25" spans="1:23" x14ac:dyDescent="0.3">
      <c r="A25" s="43">
        <v>0.8</v>
      </c>
      <c r="B25" s="26">
        <v>8</v>
      </c>
      <c r="C25" s="31">
        <f>VLOOKUP(B25,$N$21:$R$26,$N$11,FALSE)*(($D$8+$D$9)/2-$D$10)/50</f>
        <v>4010</v>
      </c>
      <c r="D25" s="24">
        <f t="shared" si="6"/>
        <v>344.79793637145309</v>
      </c>
      <c r="E25" s="36">
        <f t="shared" si="7"/>
        <v>6.1049431677790604</v>
      </c>
      <c r="F25" s="31">
        <f>VLOOKUP(B25,$N$21:$R$26,$Q$11,FALSE)*($I$10-(($I$8+$I$9)/2))/15.5</f>
        <v>1060</v>
      </c>
      <c r="G25" s="24">
        <f t="shared" si="8"/>
        <v>182.28718830610489</v>
      </c>
      <c r="H25" s="25">
        <f t="shared" si="9"/>
        <v>3.3064247838859697</v>
      </c>
      <c r="I25" s="49">
        <v>40.799999999999997</v>
      </c>
      <c r="J25" s="50">
        <f t="shared" ref="J25:J26" si="11">I25+8</f>
        <v>48.8</v>
      </c>
      <c r="K25" s="51">
        <v>9.6</v>
      </c>
      <c r="L25" s="29">
        <f t="shared" si="10"/>
        <v>320</v>
      </c>
      <c r="N25" s="1">
        <v>8</v>
      </c>
      <c r="O25" s="1">
        <v>4010</v>
      </c>
      <c r="P25" s="1">
        <v>1550</v>
      </c>
      <c r="Q25" s="1">
        <v>1060</v>
      </c>
      <c r="R25" s="1">
        <v>800</v>
      </c>
      <c r="S25" s="1">
        <v>320</v>
      </c>
      <c r="T25" s="1">
        <v>251</v>
      </c>
      <c r="U25" s="41"/>
      <c r="V25" s="41"/>
    </row>
    <row r="26" spans="1:23" x14ac:dyDescent="0.3">
      <c r="A26" s="43">
        <v>1</v>
      </c>
      <c r="B26" s="26">
        <v>10</v>
      </c>
      <c r="C26" s="31">
        <f>VLOOKUP(B26,$N$21:$R$26,$N$11,FALSE)*(($D$8+$D$9)/2-$D$10)/50</f>
        <v>4499</v>
      </c>
      <c r="D26" s="24">
        <f t="shared" si="6"/>
        <v>386.8443680137575</v>
      </c>
      <c r="E26" s="36">
        <f t="shared" si="7"/>
        <v>7.5272077022496635</v>
      </c>
      <c r="F26" s="31">
        <f>VLOOKUP(B26,$N$21:$R$26,$Q$11,FALSE)*($I$10-(($I$8+$I$9)/2))/15.5</f>
        <v>1193</v>
      </c>
      <c r="G26" s="24">
        <f t="shared" si="8"/>
        <v>205.1590713671539</v>
      </c>
      <c r="H26" s="25">
        <f t="shared" si="9"/>
        <v>4.184117002113882</v>
      </c>
      <c r="I26" s="49">
        <v>45</v>
      </c>
      <c r="J26" s="50">
        <f t="shared" si="11"/>
        <v>53</v>
      </c>
      <c r="K26" s="51">
        <v>15.6</v>
      </c>
      <c r="L26" s="29">
        <f t="shared" si="10"/>
        <v>365</v>
      </c>
      <c r="N26" s="1">
        <v>10</v>
      </c>
      <c r="O26" s="1">
        <v>4499</v>
      </c>
      <c r="P26" s="1">
        <v>1903</v>
      </c>
      <c r="Q26" s="1">
        <v>1193</v>
      </c>
      <c r="R26" s="1">
        <v>985</v>
      </c>
      <c r="S26" s="1">
        <v>365</v>
      </c>
      <c r="T26" s="1">
        <v>282</v>
      </c>
      <c r="U26" s="41"/>
      <c r="V26" s="41"/>
    </row>
    <row r="27" spans="1:23" ht="18" customHeight="1" x14ac:dyDescent="0.3">
      <c r="A27" s="58" t="s">
        <v>35</v>
      </c>
      <c r="B27" s="59"/>
      <c r="C27" s="58"/>
      <c r="D27" s="60"/>
      <c r="E27" s="59"/>
      <c r="F27" s="59"/>
      <c r="G27" s="59"/>
      <c r="H27" s="59"/>
      <c r="I27" s="58"/>
      <c r="J27" s="59"/>
      <c r="K27" s="59"/>
      <c r="L27" s="60"/>
      <c r="N27" s="1" t="s">
        <v>43</v>
      </c>
      <c r="O27" s="1" t="s">
        <v>25</v>
      </c>
      <c r="P27" s="1" t="s">
        <v>23</v>
      </c>
      <c r="Q27" s="1" t="s">
        <v>24</v>
      </c>
      <c r="R27" s="1" t="s">
        <v>26</v>
      </c>
      <c r="S27" s="1" t="s">
        <v>27</v>
      </c>
      <c r="T27" s="1" t="s">
        <v>28</v>
      </c>
    </row>
    <row r="28" spans="1:23" x14ac:dyDescent="0.3">
      <c r="A28" s="43">
        <v>0.2</v>
      </c>
      <c r="B28" s="26">
        <v>2</v>
      </c>
      <c r="C28" s="31">
        <f>VLOOKUP(B28,$N$27:$R$32,$N$11,FALSE)*(($D$8+$D$9)/2-$D$10)/50</f>
        <v>3895</v>
      </c>
      <c r="D28" s="24">
        <f>C28/(($D$8-$D$9)*1.163)</f>
        <v>334.90971625107477</v>
      </c>
      <c r="E28" s="36">
        <f>IF($J$12="2-Leiter",$V$29*D28^$V$30,$W$29*D28^$W$30)</f>
        <v>11.003137415099035</v>
      </c>
      <c r="F28" s="31">
        <f>VLOOKUP(B28,$N$27:$R$32,$Q$11,FALSE)*($I$10-(($I$8+$I$9)/2))/15.5</f>
        <v>1050</v>
      </c>
      <c r="G28" s="24">
        <f>F28/(($I$9-$I$8)*1.163)</f>
        <v>180.56749785038693</v>
      </c>
      <c r="H28" s="25">
        <f>IF($J$12="2-Leiter",$V$29*G28^$V$30,$V$29*G28^$V$30)</f>
        <v>5.0264524021827564</v>
      </c>
      <c r="I28" s="49">
        <v>24</v>
      </c>
      <c r="J28" s="50">
        <f>I28+8</f>
        <v>32</v>
      </c>
      <c r="K28" s="51">
        <v>2.8</v>
      </c>
      <c r="L28" s="29">
        <f>VLOOKUP(B28,$N$27:$T$32,$R$11,FALSE)</f>
        <v>168</v>
      </c>
      <c r="N28" s="1">
        <v>2</v>
      </c>
      <c r="O28" s="1">
        <v>3895</v>
      </c>
      <c r="P28" s="1">
        <v>1650</v>
      </c>
      <c r="Q28" s="1">
        <v>1050</v>
      </c>
      <c r="R28" s="1">
        <v>789</v>
      </c>
      <c r="S28" s="1">
        <v>168</v>
      </c>
      <c r="T28" s="1">
        <v>123</v>
      </c>
      <c r="V28" s="1" t="s">
        <v>16</v>
      </c>
      <c r="W28" s="1" t="s">
        <v>17</v>
      </c>
    </row>
    <row r="29" spans="1:23" x14ac:dyDescent="0.3">
      <c r="A29" s="43">
        <v>0.4</v>
      </c>
      <c r="B29" s="26">
        <v>4</v>
      </c>
      <c r="C29" s="31">
        <f>VLOOKUP(B29,$N$27:$R$32,$N$11,FALSE)*(($D$8+$D$9)/2-$D$10)/50</f>
        <v>4650</v>
      </c>
      <c r="D29" s="24">
        <f>C29/(($D$8-$D$9)*1.163)</f>
        <v>399.82803095442819</v>
      </c>
      <c r="E29" s="36">
        <f t="shared" ref="E29:E32" si="12">IF($J$12="2-Leiter",$V$29*D29^$V$30,$W$29*D29^$W$30)</f>
        <v>14.432813914575414</v>
      </c>
      <c r="F29" s="31">
        <f>VLOOKUP(B29,$N$27:$R$32,$Q$11,FALSE)*($I$10-(($I$8+$I$9)/2))/15.5</f>
        <v>1228</v>
      </c>
      <c r="G29" s="24">
        <f>F29/(($I$9-$I$8)*1.163)</f>
        <v>211.17798796216678</v>
      </c>
      <c r="H29" s="25">
        <f t="shared" ref="H29:H31" si="13">IF($J$12="2-Leiter",$V$29*G29^$V$30,$V$29*G29^$V$30)</f>
        <v>6.8284957241067801</v>
      </c>
      <c r="I29" s="49">
        <v>30.3</v>
      </c>
      <c r="J29" s="50">
        <f t="shared" ref="J29:J32" si="14">I29+8</f>
        <v>38.299999999999997</v>
      </c>
      <c r="K29" s="51">
        <v>5.4</v>
      </c>
      <c r="L29" s="29">
        <f>VLOOKUP(B29,$N$27:$T$32,$R$11,FALSE)</f>
        <v>259</v>
      </c>
      <c r="N29" s="1">
        <v>4</v>
      </c>
      <c r="O29" s="1">
        <v>4650</v>
      </c>
      <c r="P29" s="1">
        <v>1892</v>
      </c>
      <c r="Q29" s="1">
        <v>1228</v>
      </c>
      <c r="R29" s="1">
        <v>928</v>
      </c>
      <c r="S29" s="1">
        <v>259</v>
      </c>
      <c r="T29" s="1">
        <v>201</v>
      </c>
      <c r="V29" s="1">
        <v>1.9320688062474022E-4</v>
      </c>
      <c r="W29" s="1">
        <v>1.4956750175957937E-3</v>
      </c>
    </row>
    <row r="30" spans="1:23" x14ac:dyDescent="0.3">
      <c r="A30" s="43">
        <v>0.6</v>
      </c>
      <c r="B30" s="26">
        <v>6</v>
      </c>
      <c r="C30" s="31">
        <f>VLOOKUP(B30,$N$27:$R$32,$N$11,FALSE)*(($D$8+$D$9)/2-$D$10)/50</f>
        <v>5550</v>
      </c>
      <c r="D30" s="24">
        <f>C30/(($D$8-$D$9)*1.163)</f>
        <v>477.21410146173685</v>
      </c>
      <c r="E30" s="36">
        <f t="shared" si="12"/>
        <v>18.924481309017512</v>
      </c>
      <c r="F30" s="31">
        <f>VLOOKUP(B30,$N$27:$R$32,$Q$11,FALSE)*($I$10-(($I$8+$I$9)/2))/15.5</f>
        <v>1465</v>
      </c>
      <c r="G30" s="24">
        <f>F30/(($I$9-$I$8)*1.163)</f>
        <v>251.93465176268271</v>
      </c>
      <c r="H30" s="25">
        <f t="shared" si="13"/>
        <v>9.6443719024212502</v>
      </c>
      <c r="I30" s="49">
        <v>37.700000000000003</v>
      </c>
      <c r="J30" s="50">
        <f t="shared" si="14"/>
        <v>45.7</v>
      </c>
      <c r="K30" s="51">
        <v>10</v>
      </c>
      <c r="L30" s="29">
        <f t="shared" ref="L30:L32" si="15">VLOOKUP(B30,$N$27:$T$32,$R$11,FALSE)</f>
        <v>353</v>
      </c>
      <c r="N30" s="1">
        <v>6</v>
      </c>
      <c r="O30" s="1">
        <v>5550</v>
      </c>
      <c r="P30" s="1">
        <v>2148</v>
      </c>
      <c r="Q30" s="1">
        <v>1465</v>
      </c>
      <c r="R30" s="1">
        <v>1105</v>
      </c>
      <c r="S30" s="1">
        <v>353</v>
      </c>
      <c r="T30" s="1">
        <v>286</v>
      </c>
      <c r="V30" s="1">
        <v>1.9565547926778513</v>
      </c>
      <c r="W30" s="1">
        <v>1.5314019584469578</v>
      </c>
    </row>
    <row r="31" spans="1:23" x14ac:dyDescent="0.3">
      <c r="A31" s="43">
        <v>0.8</v>
      </c>
      <c r="B31" s="26">
        <v>8</v>
      </c>
      <c r="C31" s="31">
        <f>VLOOKUP(B31,$N$27:$R$32,$N$11,FALSE)*(($D$8+$D$9)/2-$D$10)/50</f>
        <v>6390</v>
      </c>
      <c r="D31" s="24">
        <f t="shared" ref="D31:D32" si="16">C31/(($D$8-$D$9)*1.163)</f>
        <v>549.44110060189166</v>
      </c>
      <c r="E31" s="36">
        <f t="shared" si="12"/>
        <v>23.483230702383054</v>
      </c>
      <c r="F31" s="31">
        <f>VLOOKUP(B31,$N$27:$R$32,$Q$11,FALSE)*($I$10-(($I$8+$I$9)/2))/15.5</f>
        <v>1700</v>
      </c>
      <c r="G31" s="24">
        <f t="shared" ref="G31:G32" si="17">F31/(($I$9-$I$8)*1.163)</f>
        <v>292.34737747205503</v>
      </c>
      <c r="H31" s="25">
        <f t="shared" si="13"/>
        <v>12.90296417071225</v>
      </c>
      <c r="I31" s="49">
        <v>43.7</v>
      </c>
      <c r="J31" s="50">
        <f t="shared" si="14"/>
        <v>51.7</v>
      </c>
      <c r="K31" s="51">
        <v>18</v>
      </c>
      <c r="L31" s="29">
        <f t="shared" si="15"/>
        <v>437</v>
      </c>
      <c r="N31" s="1">
        <v>8</v>
      </c>
      <c r="O31" s="1">
        <v>6390</v>
      </c>
      <c r="P31" s="1">
        <v>2504</v>
      </c>
      <c r="Q31" s="1">
        <v>1700</v>
      </c>
      <c r="R31" s="1">
        <v>1270</v>
      </c>
      <c r="S31" s="1">
        <v>437</v>
      </c>
      <c r="T31" s="1">
        <v>360</v>
      </c>
    </row>
    <row r="32" spans="1:23" x14ac:dyDescent="0.3">
      <c r="A32" s="43">
        <v>1</v>
      </c>
      <c r="B32" s="26">
        <v>10</v>
      </c>
      <c r="C32" s="31">
        <f>VLOOKUP(B32,$N$27:$R$32,$N$11,FALSE)*(($D$8+$D$9)/2-$D$10)/50</f>
        <v>7172</v>
      </c>
      <c r="D32" s="24">
        <f t="shared" si="16"/>
        <v>616.68099742046422</v>
      </c>
      <c r="E32" s="36">
        <f t="shared" si="12"/>
        <v>28.024731143202565</v>
      </c>
      <c r="F32" s="31">
        <f>VLOOKUP(B32,$N$27:$R$32,$Q$11,FALSE)*($I$10-(($I$8+$I$9)/2))/15.5</f>
        <v>1902</v>
      </c>
      <c r="G32" s="24">
        <f t="shared" si="17"/>
        <v>327.08512467755804</v>
      </c>
      <c r="H32" s="25">
        <f>IF($J$12="2-Leiter",$V$29*G32^$V$30,$V$29*G32^$V$30)</f>
        <v>16.072899024281114</v>
      </c>
      <c r="I32" s="49">
        <v>48</v>
      </c>
      <c r="J32" s="50">
        <f t="shared" si="14"/>
        <v>56</v>
      </c>
      <c r="K32" s="51">
        <v>28.8</v>
      </c>
      <c r="L32" s="29">
        <f t="shared" si="15"/>
        <v>513</v>
      </c>
      <c r="N32" s="1">
        <v>10</v>
      </c>
      <c r="O32" s="1">
        <v>7172</v>
      </c>
      <c r="P32" s="1">
        <v>3023</v>
      </c>
      <c r="Q32" s="1">
        <v>1902</v>
      </c>
      <c r="R32" s="1">
        <v>1427</v>
      </c>
      <c r="S32" s="1">
        <v>513</v>
      </c>
      <c r="T32" s="1">
        <v>423</v>
      </c>
      <c r="U32" s="41"/>
      <c r="V32" s="41"/>
    </row>
    <row r="33" spans="1:23" ht="16.95" customHeight="1" x14ac:dyDescent="0.3">
      <c r="A33" s="58" t="s">
        <v>36</v>
      </c>
      <c r="B33" s="59"/>
      <c r="C33" s="58"/>
      <c r="D33" s="60"/>
      <c r="E33" s="59"/>
      <c r="F33" s="59"/>
      <c r="G33" s="59"/>
      <c r="H33" s="59"/>
      <c r="I33" s="58"/>
      <c r="J33" s="59"/>
      <c r="K33" s="59"/>
      <c r="L33" s="60"/>
      <c r="N33" s="1" t="s">
        <v>44</v>
      </c>
      <c r="O33" s="1" t="s">
        <v>25</v>
      </c>
      <c r="P33" s="1" t="s">
        <v>23</v>
      </c>
      <c r="Q33" s="1" t="s">
        <v>24</v>
      </c>
      <c r="R33" s="1" t="s">
        <v>26</v>
      </c>
      <c r="S33" s="1" t="s">
        <v>27</v>
      </c>
      <c r="T33" s="1" t="s">
        <v>28</v>
      </c>
    </row>
    <row r="34" spans="1:23" x14ac:dyDescent="0.3">
      <c r="A34" s="43">
        <v>0.2</v>
      </c>
      <c r="B34" s="26">
        <v>2</v>
      </c>
      <c r="C34" s="31">
        <f>VLOOKUP(B34,$N$33:$R$36,$N$11,FALSE)*(($D$8+$D$9)/2-$D$10)/50</f>
        <v>4650</v>
      </c>
      <c r="D34" s="24">
        <f>C34/(($D$8-$D$9)*1.163)</f>
        <v>399.82803095442819</v>
      </c>
      <c r="E34" s="36">
        <f>IF($J$12="2-Leiter",$V$35*D34^$V$36,$W$35*D34^$W$36)</f>
        <v>14.100339530273827</v>
      </c>
      <c r="F34" s="31">
        <f>VLOOKUP(B34,$N$33:$R$36,$Q$11,FALSE)*($I$10-(($I$8+$I$9)/2))/15.5</f>
        <v>1295</v>
      </c>
      <c r="G34" s="24">
        <f>F34/(($I$9-$I$8)*1.163)</f>
        <v>222.69991401547719</v>
      </c>
      <c r="H34" s="25">
        <f>IF($J$12="2-Leiter",$V$35*G34^$V$36,$V$35*G34^$V$36)</f>
        <v>9.5682313665787042</v>
      </c>
      <c r="I34" s="49">
        <v>26.2</v>
      </c>
      <c r="J34" s="50">
        <f>I34+8</f>
        <v>34.200000000000003</v>
      </c>
      <c r="K34" s="51">
        <v>2.8</v>
      </c>
      <c r="L34" s="29">
        <f>VLOOKUP(B34,$N$33:$T$38,$R$11,FALSE)</f>
        <v>200</v>
      </c>
      <c r="N34" s="1">
        <v>2</v>
      </c>
      <c r="O34" s="1">
        <v>4650</v>
      </c>
      <c r="P34" s="1">
        <v>2002</v>
      </c>
      <c r="Q34" s="1">
        <v>1295</v>
      </c>
      <c r="R34" s="1">
        <v>962</v>
      </c>
      <c r="S34" s="1">
        <v>200</v>
      </c>
      <c r="T34" s="1">
        <v>139</v>
      </c>
      <c r="V34" s="1" t="s">
        <v>16</v>
      </c>
      <c r="W34" s="1" t="s">
        <v>17</v>
      </c>
    </row>
    <row r="35" spans="1:23" x14ac:dyDescent="0.3">
      <c r="A35" s="43">
        <v>0.4</v>
      </c>
      <c r="B35" s="26">
        <v>4</v>
      </c>
      <c r="C35" s="31">
        <f>VLOOKUP(B35,$N$33:$R$36,$N$11,FALSE)*(($D$8+$D$9)/2-$D$10)/50</f>
        <v>5800</v>
      </c>
      <c r="D35" s="24">
        <f>C35/(($D$8-$D$9)*1.163)</f>
        <v>498.71023215821151</v>
      </c>
      <c r="E35" s="36">
        <f t="shared" ref="E35:E37" si="18">IF($J$12="2-Leiter",$V$35*D35^$V$36,$W$35*D35^$W$36)</f>
        <v>20.969555667488478</v>
      </c>
      <c r="F35" s="31">
        <f>VLOOKUP(B35,$N$33:$R$36,$Q$11,FALSE)*($I$10-(($I$8+$I$9)/2))/15.5</f>
        <v>1541</v>
      </c>
      <c r="G35" s="24">
        <f>F35/(($I$9-$I$8)*1.163)</f>
        <v>265.00429922613927</v>
      </c>
      <c r="H35" s="25">
        <f t="shared" ref="H35:H38" si="19">IF($J$12="2-Leiter",$V$35*G35^$V$36,$V$35*G35^$V$36)</f>
        <v>13.014298042403176</v>
      </c>
      <c r="I35" s="49">
        <v>32</v>
      </c>
      <c r="J35" s="50">
        <f t="shared" ref="J35:J38" si="20">I35+8</f>
        <v>40</v>
      </c>
      <c r="K35" s="51">
        <v>5.5</v>
      </c>
      <c r="L35" s="29">
        <f t="shared" ref="L35:L38" si="21">VLOOKUP(B35,$N$33:$T$38,$R$11,FALSE)</f>
        <v>297</v>
      </c>
      <c r="N35" s="1">
        <v>4</v>
      </c>
      <c r="O35" s="1">
        <v>5800</v>
      </c>
      <c r="P35" s="1">
        <v>2362</v>
      </c>
      <c r="Q35" s="1">
        <v>1541</v>
      </c>
      <c r="R35" s="1">
        <v>1158</v>
      </c>
      <c r="S35" s="1">
        <v>297</v>
      </c>
      <c r="T35" s="1">
        <v>251</v>
      </c>
      <c r="V35" s="1">
        <v>6.7391145679010262E-4</v>
      </c>
      <c r="W35" s="1">
        <v>2.9962456348767911E-4</v>
      </c>
    </row>
    <row r="36" spans="1:23" x14ac:dyDescent="0.3">
      <c r="A36" s="43">
        <v>0.6</v>
      </c>
      <c r="B36" s="26">
        <v>6</v>
      </c>
      <c r="C36" s="31">
        <f>VLOOKUP(B36,$N$33:$R$36,$N$11,FALSE)*(($D$8+$D$9)/2-$D$10)/50</f>
        <v>6915</v>
      </c>
      <c r="D36" s="24">
        <f>C36/(($D$8-$D$9)*1.163)</f>
        <v>594.58297506448832</v>
      </c>
      <c r="E36" s="36">
        <f t="shared" si="18"/>
        <v>28.756111081085542</v>
      </c>
      <c r="F36" s="31">
        <f>VLOOKUP(B36,$N$33:$R$36,$Q$11,FALSE)*($I$10-(($I$8+$I$9)/2))/15.5</f>
        <v>1839</v>
      </c>
      <c r="G36" s="24">
        <f>F36/(($I$9-$I$8)*1.163)</f>
        <v>316.2510748065348</v>
      </c>
      <c r="H36" s="25">
        <f t="shared" si="19"/>
        <v>17.791555536656453</v>
      </c>
      <c r="I36" s="49">
        <v>39</v>
      </c>
      <c r="J36" s="50">
        <f t="shared" si="20"/>
        <v>47</v>
      </c>
      <c r="K36" s="51">
        <v>10</v>
      </c>
      <c r="L36" s="29">
        <f t="shared" si="21"/>
        <v>396</v>
      </c>
      <c r="N36" s="1">
        <v>6</v>
      </c>
      <c r="O36" s="1">
        <v>6915</v>
      </c>
      <c r="P36" s="1">
        <v>2700</v>
      </c>
      <c r="Q36" s="1">
        <v>1839</v>
      </c>
      <c r="R36" s="1">
        <v>1380</v>
      </c>
      <c r="S36" s="1">
        <v>396</v>
      </c>
      <c r="T36" s="1">
        <v>334</v>
      </c>
      <c r="V36" s="1">
        <v>1.7686217868402407</v>
      </c>
      <c r="W36" s="1">
        <v>1.7958800173440754</v>
      </c>
    </row>
    <row r="37" spans="1:23" x14ac:dyDescent="0.3">
      <c r="A37" s="43">
        <v>0.8</v>
      </c>
      <c r="B37" s="26">
        <v>8</v>
      </c>
      <c r="C37" s="31">
        <f>VLOOKUP(B37,$N$33:$R$38,$N$11,FALSE)*(($D$8+$D$9)/2-$D$10)/50</f>
        <v>8000</v>
      </c>
      <c r="D37" s="24">
        <f t="shared" ref="D37:D38" si="22">C37/(($D$8-$D$9)*1.163)</f>
        <v>687.87618228718827</v>
      </c>
      <c r="E37" s="36">
        <f t="shared" si="18"/>
        <v>37.359874726276708</v>
      </c>
      <c r="F37" s="31">
        <f>VLOOKUP(B37,$N$33:$R$38,$Q$11,FALSE)*($I$10-(($I$8+$I$9)/2))/15.5</f>
        <v>2112</v>
      </c>
      <c r="G37" s="24">
        <f t="shared" ref="G37:G38" si="23">F37/(($I$9-$I$8)*1.163)</f>
        <v>363.19862424763539</v>
      </c>
      <c r="H37" s="25">
        <f t="shared" si="19"/>
        <v>22.726347341782144</v>
      </c>
      <c r="I37" s="49">
        <v>44.5</v>
      </c>
      <c r="J37" s="50">
        <f t="shared" si="20"/>
        <v>52.5</v>
      </c>
      <c r="K37" s="51">
        <v>18</v>
      </c>
      <c r="L37" s="29">
        <f t="shared" si="21"/>
        <v>500</v>
      </c>
      <c r="N37" s="1">
        <v>8</v>
      </c>
      <c r="O37" s="1">
        <v>8000</v>
      </c>
      <c r="P37" s="1">
        <v>3152</v>
      </c>
      <c r="Q37" s="1">
        <v>2112</v>
      </c>
      <c r="R37" s="1">
        <v>1590</v>
      </c>
      <c r="S37" s="1">
        <v>500</v>
      </c>
      <c r="T37" s="1">
        <v>432</v>
      </c>
    </row>
    <row r="38" spans="1:23" x14ac:dyDescent="0.3">
      <c r="A38" s="44">
        <v>1</v>
      </c>
      <c r="B38" s="45">
        <v>10</v>
      </c>
      <c r="C38" s="46">
        <f>VLOOKUP(B38,$N$33:$R$38,$N$11,FALSE)*(($D$8+$D$9)/2-$D$10)/50</f>
        <v>8953</v>
      </c>
      <c r="D38" s="47">
        <f t="shared" si="22"/>
        <v>769.81943250214954</v>
      </c>
      <c r="E38" s="48">
        <f>IF($J$12="2-Leiter",$V$35*D38^$V$36,$W$35*D38^$W$36)</f>
        <v>45.728347542488095</v>
      </c>
      <c r="F38" s="46">
        <f>VLOOKUP(B38,$N$33:$R$38,$Q$11,FALSE)*($I$10-(($I$8+$I$9)/2))/15.5</f>
        <v>2375</v>
      </c>
      <c r="G38" s="47">
        <f t="shared" si="23"/>
        <v>408.42648323301802</v>
      </c>
      <c r="H38" s="25">
        <f t="shared" si="19"/>
        <v>27.968924208208875</v>
      </c>
      <c r="I38" s="52">
        <v>48.5</v>
      </c>
      <c r="J38" s="53">
        <f t="shared" si="20"/>
        <v>56.5</v>
      </c>
      <c r="K38" s="54">
        <v>28.8</v>
      </c>
      <c r="L38" s="29">
        <f t="shared" si="21"/>
        <v>583</v>
      </c>
      <c r="N38" s="1">
        <v>10</v>
      </c>
      <c r="O38" s="1">
        <v>8953</v>
      </c>
      <c r="P38" s="1">
        <v>3769</v>
      </c>
      <c r="Q38" s="1">
        <v>2375</v>
      </c>
      <c r="R38" s="1">
        <v>1781</v>
      </c>
      <c r="S38" s="1">
        <v>583</v>
      </c>
      <c r="T38" s="1">
        <v>508</v>
      </c>
    </row>
    <row r="39" spans="1:23" ht="10.199999999999999" customHeight="1" x14ac:dyDescent="0.3">
      <c r="A39" s="4" t="s">
        <v>31</v>
      </c>
      <c r="B39" s="3"/>
      <c r="C39" s="3"/>
      <c r="D39" s="3"/>
      <c r="E39" s="3"/>
      <c r="F39" s="3"/>
      <c r="G39" s="3"/>
      <c r="H39" s="55"/>
      <c r="I39" s="3"/>
      <c r="J39" s="3"/>
      <c r="K39" s="4"/>
      <c r="L39" s="57" t="s">
        <v>49</v>
      </c>
    </row>
    <row r="40" spans="1:23" ht="12.6" customHeight="1" x14ac:dyDescent="0.3">
      <c r="A40" s="5" t="s">
        <v>32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23" s="3" customFormat="1" ht="16.05" customHeight="1" x14ac:dyDescent="0.3"/>
    <row r="42" spans="1:23" hidden="1" x14ac:dyDescent="0.3"/>
    <row r="43" spans="1:23" hidden="1" x14ac:dyDescent="0.3"/>
    <row r="44" spans="1:23" hidden="1" x14ac:dyDescent="0.3"/>
    <row r="45" spans="1:23" hidden="1" x14ac:dyDescent="0.3"/>
    <row r="46" spans="1:23" hidden="1" x14ac:dyDescent="0.3"/>
    <row r="47" spans="1:23" hidden="1" x14ac:dyDescent="0.3"/>
    <row r="48" spans="1:23" hidden="1" x14ac:dyDescent="0.3"/>
  </sheetData>
  <sheetProtection algorithmName="SHA-512" hashValue="wtaIeIAzpIwxw5YQ8Iyk9Kzql5VialM83LWlGaePBQLGjvffvxO6rg3VQkXtoXHvr1WzUbbaynAdSc+UQCQsxg==" saltValue="f9cHnKM55DXgDTMk+CSRCQ==" spinCount="100000" sheet="1" objects="1" scenarios="1" selectLockedCells="1"/>
  <dataConsolidate/>
  <mergeCells count="10">
    <mergeCell ref="A15:L15"/>
    <mergeCell ref="A21:L21"/>
    <mergeCell ref="A27:L27"/>
    <mergeCell ref="A33:L33"/>
    <mergeCell ref="A8:C8"/>
    <mergeCell ref="F8:H8"/>
    <mergeCell ref="A9:C9"/>
    <mergeCell ref="F9:H9"/>
    <mergeCell ref="A10:C10"/>
    <mergeCell ref="F10:H10"/>
  </mergeCells>
  <dataValidations count="7">
    <dataValidation type="list" allowBlank="1" showInputMessage="1" showErrorMessage="1" sqref="I6">
      <formula1>Systemauswahl</formula1>
    </dataValidation>
    <dataValidation type="whole" errorStyle="information" allowBlank="1" showErrorMessage="1" error="Eingabe außerhalb des gültigen Bereichs." prompt="20°C bis 35°C" sqref="I10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I9">
      <formula1>I8</formula1>
      <formula2>I10</formula2>
    </dataValidation>
    <dataValidation type="whole" errorStyle="information" allowBlank="1" showErrorMessage="1" error="Eingabe außerhalb des gültigen Bereichs." prompt="Eingabe zwischen 5°C bis 20°C" sqref="I8">
      <formula1>5</formula1>
      <formula2>20</formula2>
    </dataValidation>
  </dataValidations>
  <pageMargins left="0.5" right="0.47222222222222221" top="1.0555555555555556" bottom="0.81944444444444442" header="0.43055555555555558" footer="0.40277777777777779"/>
  <pageSetup paperSize="9" orientation="portrait" r:id="rId1"/>
  <headerFooter>
    <oddHeader>&amp;L&amp;G&amp;C&amp;16&amp;K00-034Briza Einbau Auslegung Höhe 052
Heizen und Kühlen</oddHeader>
    <oddFooter>&amp;C&amp;8JAGA Deutschland GmbH • Neuer Zollhof 1 • 40221 Düsseldorf  • T +49 (0) 211 310 27 30 • info@jaga.de • www.jaga-deutschland.de_x000D_KBC Iban: DE58 3052 4400 0000 2837 88  • Bic: KREDDEDDXXX  • Amtsgericht Düsseldorf  • HRB32157 • UST Nr: DE174665903</oddFooter>
  </headerFooter>
  <rowBreaks count="1" manualBreakCount="1">
    <brk id="4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Briza H38 Einbau (ohne Verkl.)</vt:lpstr>
      <vt:lpstr>Briza H52 Einbau (ohne Verkl.)</vt:lpstr>
      <vt:lpstr>'Briza H38 Einbau (ohne Verkl.)'!Druckbereich</vt:lpstr>
      <vt:lpstr>'Briza H52 Einbau (ohne Verkl.)'!Druckbereich</vt:lpstr>
      <vt:lpstr>'Briza H52 Einbau (ohne Verkl.)'!Systemauswahl</vt:lpstr>
      <vt:lpstr>Systemauswahl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Thomas</dc:creator>
  <cp:lastModifiedBy>Patrick Thomas</cp:lastModifiedBy>
  <cp:lastPrinted>2017-05-16T06:48:05Z</cp:lastPrinted>
  <dcterms:created xsi:type="dcterms:W3CDTF">2016-04-18T12:28:50Z</dcterms:created>
  <dcterms:modified xsi:type="dcterms:W3CDTF">2017-06-12T07:26:42Z</dcterms:modified>
</cp:coreProperties>
</file>