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ms-excel.sheet.macroEnabled.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drawings/drawing2.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alcChain.xml" ContentType="application/vnd.openxmlformats-officedocument.spreadsheetml.calcChain+xml"/>
  <Override PartName="/xl/vbaProject.bin" ContentType="application/vnd.ms-office.vbaProject"/>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codeName="{E757BCB4-07E6-AE0B-56E0-F0EEF7A6E26C}"/>
  <workbookPr showInkAnnotation="0" codeName="ThisWorkbook" autoCompressPictures="0"/>
  <mc:AlternateContent xmlns:mc="http://schemas.openxmlformats.org/markup-compatibility/2006">
    <mc:Choice Requires="x15">
      <x15ac:absPath xmlns:x15ac="http://schemas.microsoft.com/office/spreadsheetml/2010/11/ac" url="U:\DataBase\Selection tools\Topperformers\Clima Beam\"/>
    </mc:Choice>
  </mc:AlternateContent>
  <xr:revisionPtr revIDLastSave="0" documentId="13_ncr:1_{709C1C18-3325-438C-A2F4-06D86E94FF21}" xr6:coauthVersionLast="47" xr6:coauthVersionMax="47" xr10:uidLastSave="{00000000-0000-0000-0000-000000000000}"/>
  <workbookProtection workbookAlgorithmName="SHA-512" workbookHashValue="YuvZi2erS+8yib4dor0NR9FH21Mg/7DyIqPjbj7HBkn1EU2x1yuo0fLPEzU/Ntr5YmtrQbwZSvKw+Oep8O0PdA==" workbookSaltValue="ojhfkS2WMBOUlJkae5GWig==" workbookSpinCount="100000" lockStructure="1"/>
  <bookViews>
    <workbookView xWindow="57480" yWindow="-120" windowWidth="29040" windowHeight="15840" xr2:uid="{00000000-000D-0000-FFFF-FFFF00000000}"/>
  </bookViews>
  <sheets>
    <sheet name="Clima Beam" sheetId="7" r:id="rId1"/>
    <sheet name="cal" sheetId="8" state="hidden" r:id="rId2"/>
    <sheet name="NL" sheetId="9" state="hidden" r:id="rId3"/>
    <sheet name="EN" sheetId="13" state="hidden" r:id="rId4"/>
    <sheet name="DE" sheetId="14" state="hidden" r:id="rId5"/>
    <sheet name="FR" sheetId="15" state="hidden" r:id="rId6"/>
    <sheet name="NR" sheetId="16" state="hidden" r:id="rId7"/>
    <sheet name="SP" sheetId="17" state="hidden" r:id="rId8"/>
    <sheet name="SW" sheetId="18" state="hidden" r:id="rId9"/>
    <sheet name="TS" sheetId="19" state="hidden" r:id="rId10"/>
    <sheet name="ExtraTaal1" sheetId="21" state="hidden" r:id="rId11"/>
    <sheet name="ExtraTaal2" sheetId="22" state="hidden" r:id="rId12"/>
    <sheet name="ExtraTaal3" sheetId="23" state="hidden" r:id="rId13"/>
  </sheets>
  <definedNames>
    <definedName name="Auslegung" localSheetId="4">'Clima Beam'!#REF!</definedName>
    <definedName name="Auslegung" localSheetId="3">'Clima Beam'!#REF!</definedName>
    <definedName name="Auslegung" localSheetId="10">'Clima Beam'!#REF!</definedName>
    <definedName name="Auslegung" localSheetId="11">'Clima Beam'!#REF!</definedName>
    <definedName name="Auslegung" localSheetId="12">'Clima Beam'!#REF!</definedName>
    <definedName name="Auslegung" localSheetId="5">'Clima Beam'!#REF!</definedName>
    <definedName name="Auslegung" localSheetId="6">'Clima Beam'!#REF!</definedName>
    <definedName name="Auslegung" localSheetId="7">'Clima Beam'!#REF!</definedName>
    <definedName name="Auslegung" localSheetId="8">'Clima Beam'!#REF!</definedName>
    <definedName name="Auslegung" localSheetId="9">'Clima Beam'!#REF!</definedName>
    <definedName name="Auslegung">'Clima Beam'!#REF!</definedName>
    <definedName name="Höhe" localSheetId="4">'Clima Beam'!#REF!</definedName>
    <definedName name="Höhe" localSheetId="3">'Clima Beam'!#REF!</definedName>
    <definedName name="Höhe" localSheetId="10">'Clima Beam'!#REF!</definedName>
    <definedName name="Höhe" localSheetId="11">'Clima Beam'!#REF!</definedName>
    <definedName name="Höhe" localSheetId="12">'Clima Beam'!#REF!</definedName>
    <definedName name="Höhe" localSheetId="5">'Clima Beam'!#REF!</definedName>
    <definedName name="Höhe" localSheetId="6">'Clima Beam'!#REF!</definedName>
    <definedName name="Höhe" localSheetId="7">'Clima Beam'!#REF!</definedName>
    <definedName name="Höhe" localSheetId="8">'Clima Beam'!#REF!</definedName>
    <definedName name="Höhe" localSheetId="9">'Clima Beam'!#REF!</definedName>
    <definedName name="Höhe">'Clima Beam'!#REF!</definedName>
    <definedName name="Systemauswahl" localSheetId="0">'Clima Beam'!#REF!</definedName>
    <definedName name="Systemauswahl" localSheetId="4">#REF!</definedName>
    <definedName name="Systemauswahl" localSheetId="3">#REF!</definedName>
    <definedName name="Systemauswahl" localSheetId="10">#REF!</definedName>
    <definedName name="Systemauswahl" localSheetId="11">#REF!</definedName>
    <definedName name="Systemauswahl" localSheetId="12">#REF!</definedName>
    <definedName name="Systemauswahl" localSheetId="5">#REF!</definedName>
    <definedName name="Systemauswahl" localSheetId="6">#REF!</definedName>
    <definedName name="Systemauswahl" localSheetId="7">#REF!</definedName>
    <definedName name="Systemauswahl" localSheetId="8">#REF!</definedName>
    <definedName name="Systemauswahl" localSheetId="9">#REF!</definedName>
    <definedName name="Systemauswahl">#REF!</definedName>
    <definedName name="UnitsNo">cal!$N$5</definedName>
  </definedNames>
  <calcPr calcId="191029" iterate="1" iterateCount="100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N12" i="8" l="1"/>
  <c r="L18" i="8"/>
  <c r="CB23" i="8"/>
  <c r="CB24" i="8"/>
  <c r="CB25" i="8"/>
  <c r="CB26" i="8"/>
  <c r="CB27" i="8"/>
  <c r="CB28" i="8"/>
  <c r="CB29" i="8"/>
  <c r="CB30" i="8"/>
  <c r="CB31" i="8"/>
  <c r="CB32" i="8"/>
  <c r="CB33" i="8"/>
  <c r="CB22" i="8"/>
  <c r="CE23" i="8"/>
  <c r="CE24" i="8"/>
  <c r="CE25" i="8"/>
  <c r="CE26" i="8"/>
  <c r="CE27" i="8"/>
  <c r="CE28" i="8"/>
  <c r="CE29" i="8"/>
  <c r="CE30" i="8"/>
  <c r="CE31" i="8"/>
  <c r="CE32" i="8"/>
  <c r="CE33" i="8"/>
  <c r="CE22" i="8"/>
  <c r="CD23" i="8"/>
  <c r="CD24" i="8"/>
  <c r="CD25" i="8"/>
  <c r="CD26" i="8"/>
  <c r="CD27" i="8"/>
  <c r="CD28" i="8"/>
  <c r="CD29" i="8"/>
  <c r="CD30" i="8"/>
  <c r="CD31" i="8"/>
  <c r="CD32" i="8"/>
  <c r="CD33" i="8"/>
  <c r="CD22" i="8"/>
  <c r="CC31" i="8"/>
  <c r="CC32" i="8"/>
  <c r="CC33" i="8"/>
  <c r="CC23" i="8"/>
  <c r="CC24" i="8"/>
  <c r="CC25" i="8"/>
  <c r="CC26" i="8"/>
  <c r="CC27" i="8"/>
  <c r="CC28" i="8"/>
  <c r="CC29" i="8"/>
  <c r="CC30" i="8"/>
  <c r="CC22" i="8"/>
  <c r="BI22" i="8"/>
  <c r="BS22" i="8" s="1"/>
  <c r="BI23" i="8"/>
  <c r="BS23" i="8" s="1"/>
  <c r="BI24" i="8"/>
  <c r="BS24" i="8" s="1"/>
  <c r="BI25" i="8"/>
  <c r="BS25" i="8" s="1"/>
  <c r="BI26" i="8"/>
  <c r="BS26" i="8" s="1"/>
  <c r="BI27" i="8"/>
  <c r="BS27" i="8" s="1"/>
  <c r="BI28" i="8"/>
  <c r="BS28" i="8" s="1"/>
  <c r="BI29" i="8"/>
  <c r="BI30" i="8"/>
  <c r="BS30" i="8" s="1"/>
  <c r="BI31" i="8"/>
  <c r="BS31" i="8" s="1"/>
  <c r="BI32" i="8"/>
  <c r="BS32" i="8" s="1"/>
  <c r="BI33" i="8"/>
  <c r="BS33" i="8" s="1"/>
  <c r="BH23" i="8"/>
  <c r="BR23" i="8" s="1"/>
  <c r="BH24" i="8"/>
  <c r="BR24" i="8" s="1"/>
  <c r="BH25" i="8"/>
  <c r="BR25" i="8" s="1"/>
  <c r="BH26" i="8"/>
  <c r="BH27" i="8"/>
  <c r="BH28" i="8"/>
  <c r="BH29" i="8"/>
  <c r="BH30" i="8"/>
  <c r="BR30" i="8" s="1"/>
  <c r="BH31" i="8"/>
  <c r="BR31" i="8" s="1"/>
  <c r="BH32" i="8"/>
  <c r="BR32" i="8" s="1"/>
  <c r="BH33" i="8"/>
  <c r="BR33" i="8" s="1"/>
  <c r="BH22" i="8"/>
  <c r="BR22" i="8" s="1"/>
  <c r="BG33" i="8"/>
  <c r="BF33" i="8"/>
  <c r="BG32" i="8"/>
  <c r="BF32" i="8"/>
  <c r="BG31" i="8"/>
  <c r="BF31" i="8"/>
  <c r="BG30" i="8"/>
  <c r="BF30" i="8"/>
  <c r="BG29" i="8"/>
  <c r="BF29" i="8"/>
  <c r="BG28" i="8"/>
  <c r="BF28" i="8"/>
  <c r="BG27" i="8"/>
  <c r="BF27" i="8"/>
  <c r="BG26" i="8"/>
  <c r="BF26" i="8"/>
  <c r="BG25" i="8"/>
  <c r="BF25" i="8"/>
  <c r="BG24" i="8"/>
  <c r="BF24" i="8"/>
  <c r="BG23" i="8"/>
  <c r="BF23" i="8"/>
  <c r="BG22" i="8"/>
  <c r="BF22" i="8"/>
  <c r="BK22" i="8"/>
  <c r="BK23" i="8"/>
  <c r="BK24" i="8"/>
  <c r="BK25" i="8"/>
  <c r="BK26" i="8"/>
  <c r="BK27" i="8"/>
  <c r="BK28" i="8"/>
  <c r="BK29" i="8"/>
  <c r="BK30" i="8"/>
  <c r="BK31" i="8"/>
  <c r="BK32" i="8"/>
  <c r="BK33" i="8"/>
  <c r="BJ33" i="8"/>
  <c r="BJ32" i="8"/>
  <c r="BJ31" i="8"/>
  <c r="BJ30" i="8"/>
  <c r="BJ29" i="8"/>
  <c r="BJ28" i="8"/>
  <c r="BJ27" i="8"/>
  <c r="BJ26" i="8"/>
  <c r="BJ25" i="8"/>
  <c r="BJ24" i="8"/>
  <c r="BJ23" i="8"/>
  <c r="BJ22" i="8"/>
  <c r="BS29" i="8"/>
  <c r="BR26" i="8"/>
  <c r="BR27" i="8"/>
  <c r="BR28" i="8"/>
  <c r="BR29" i="8"/>
  <c r="BE25" i="8" l="1"/>
  <c r="BD25" i="8"/>
  <c r="BC25" i="8"/>
  <c r="BB25" i="8"/>
  <c r="AA25" i="8"/>
  <c r="Z25" i="8"/>
  <c r="Y25" i="8"/>
  <c r="X25" i="8"/>
  <c r="Q25" i="8"/>
  <c r="P25" i="8"/>
  <c r="O25" i="8"/>
  <c r="N25" i="8"/>
  <c r="L13" i="8" l="1"/>
  <c r="BV24" i="8"/>
  <c r="BW24" i="8"/>
  <c r="BX24" i="8"/>
  <c r="BY24" i="8"/>
  <c r="BV25" i="8"/>
  <c r="BW25" i="8"/>
  <c r="BX25" i="8"/>
  <c r="BV26" i="8"/>
  <c r="BW26" i="8"/>
  <c r="BX26" i="8"/>
  <c r="BY26" i="8"/>
  <c r="BV27" i="8"/>
  <c r="BW27" i="8"/>
  <c r="BX27" i="8"/>
  <c r="BZ27" i="8" s="1"/>
  <c r="BY27" i="8"/>
  <c r="BV28" i="8"/>
  <c r="BW28" i="8"/>
  <c r="BX28" i="8"/>
  <c r="BY28" i="8"/>
  <c r="BV29" i="8"/>
  <c r="BW29" i="8"/>
  <c r="BX29" i="8"/>
  <c r="BY29" i="8"/>
  <c r="BV30" i="8"/>
  <c r="BW30" i="8"/>
  <c r="BX30" i="8"/>
  <c r="BY30" i="8"/>
  <c r="BV31" i="8"/>
  <c r="BW31" i="8"/>
  <c r="BX31" i="8"/>
  <c r="BZ31" i="8" s="1"/>
  <c r="BY31" i="8"/>
  <c r="BV32" i="8"/>
  <c r="BW32" i="8"/>
  <c r="BX32" i="8"/>
  <c r="BY32" i="8"/>
  <c r="BV33" i="8"/>
  <c r="BW33" i="8"/>
  <c r="BX33" i="8"/>
  <c r="BY33" i="8"/>
  <c r="CA33" i="8" s="1"/>
  <c r="BY23" i="8"/>
  <c r="BX23" i="8"/>
  <c r="BW23" i="8"/>
  <c r="CA23" i="8" s="1"/>
  <c r="BV23" i="8"/>
  <c r="BZ23" i="8" s="1"/>
  <c r="AC25" i="8"/>
  <c r="BY25" i="8" s="1"/>
  <c r="CA25" i="8" s="1"/>
  <c r="CA27" i="8" l="1"/>
  <c r="BZ25" i="8"/>
  <c r="CA31" i="8"/>
  <c r="CA29" i="8"/>
  <c r="BZ30" i="8"/>
  <c r="CA26" i="8"/>
  <c r="CA24" i="8"/>
  <c r="BZ33" i="8"/>
  <c r="CA32" i="8"/>
  <c r="CA28" i="8"/>
  <c r="BZ24" i="8"/>
  <c r="CA30" i="8"/>
  <c r="BZ26" i="8"/>
  <c r="BZ29" i="8"/>
  <c r="BZ32" i="8"/>
  <c r="BZ28" i="8"/>
  <c r="BM25" i="8"/>
  <c r="BL25" i="8"/>
  <c r="BO25" i="8"/>
  <c r="BN25" i="8"/>
  <c r="AK25" i="8"/>
  <c r="AJ25" i="8"/>
  <c r="AI25" i="8"/>
  <c r="AH25" i="8"/>
  <c r="AU25" i="8"/>
  <c r="AT25" i="8"/>
  <c r="AS25" i="8"/>
  <c r="AR25" i="8"/>
  <c r="BE33" i="8" l="1"/>
  <c r="BO33" i="8" s="1"/>
  <c r="BD33" i="8"/>
  <c r="BN33" i="8" s="1"/>
  <c r="BC33" i="8"/>
  <c r="BM33" i="8" s="1"/>
  <c r="BB33" i="8"/>
  <c r="BL33" i="8" s="1"/>
  <c r="BE32" i="8"/>
  <c r="BO32" i="8" s="1"/>
  <c r="BD32" i="8"/>
  <c r="BN32" i="8" s="1"/>
  <c r="BC32" i="8"/>
  <c r="BM32" i="8" s="1"/>
  <c r="BB32" i="8"/>
  <c r="BL32" i="8" s="1"/>
  <c r="BE31" i="8"/>
  <c r="BO31" i="8" s="1"/>
  <c r="BD31" i="8"/>
  <c r="BN31" i="8" s="1"/>
  <c r="BC31" i="8"/>
  <c r="BM31" i="8" s="1"/>
  <c r="BB31" i="8"/>
  <c r="BL31" i="8" s="1"/>
  <c r="BE30" i="8"/>
  <c r="BO30" i="8" s="1"/>
  <c r="BD30" i="8"/>
  <c r="BN30" i="8" s="1"/>
  <c r="BC30" i="8"/>
  <c r="BM30" i="8" s="1"/>
  <c r="BB30" i="8"/>
  <c r="BL30" i="8" s="1"/>
  <c r="BE29" i="8"/>
  <c r="BO29" i="8" s="1"/>
  <c r="BD29" i="8"/>
  <c r="BN29" i="8" s="1"/>
  <c r="BC29" i="8"/>
  <c r="BM29" i="8" s="1"/>
  <c r="BB29" i="8"/>
  <c r="BL29" i="8" s="1"/>
  <c r="BE28" i="8"/>
  <c r="BO28" i="8" s="1"/>
  <c r="BD28" i="8"/>
  <c r="BN28" i="8" s="1"/>
  <c r="BC28" i="8"/>
  <c r="BM28" i="8" s="1"/>
  <c r="BB28" i="8"/>
  <c r="BL28" i="8" s="1"/>
  <c r="BE27" i="8"/>
  <c r="BO27" i="8" s="1"/>
  <c r="BD27" i="8"/>
  <c r="BN27" i="8" s="1"/>
  <c r="BC27" i="8"/>
  <c r="BM27" i="8" s="1"/>
  <c r="BB27" i="8"/>
  <c r="BL27" i="8" s="1"/>
  <c r="BE26" i="8"/>
  <c r="BO26" i="8" s="1"/>
  <c r="BD26" i="8"/>
  <c r="BN26" i="8" s="1"/>
  <c r="BC26" i="8"/>
  <c r="BM26" i="8" s="1"/>
  <c r="BB26" i="8"/>
  <c r="BL26" i="8" s="1"/>
  <c r="BE24" i="8"/>
  <c r="BO24" i="8" s="1"/>
  <c r="BD24" i="8"/>
  <c r="BN24" i="8" s="1"/>
  <c r="BC24" i="8"/>
  <c r="BM24" i="8" s="1"/>
  <c r="BB24" i="8"/>
  <c r="BL24" i="8" s="1"/>
  <c r="BE23" i="8"/>
  <c r="BO23" i="8" s="1"/>
  <c r="BD23" i="8"/>
  <c r="BN23" i="8" s="1"/>
  <c r="BC23" i="8"/>
  <c r="BM23" i="8" s="1"/>
  <c r="BB23" i="8"/>
  <c r="BL23" i="8" s="1"/>
  <c r="BE22" i="8"/>
  <c r="BO22" i="8" s="1"/>
  <c r="BD22" i="8"/>
  <c r="BN22" i="8" s="1"/>
  <c r="BC22" i="8"/>
  <c r="BM22" i="8" s="1"/>
  <c r="BB22" i="8"/>
  <c r="BL22" i="8" s="1"/>
  <c r="AA33" i="8"/>
  <c r="AU33" i="8" s="1"/>
  <c r="Z33" i="8"/>
  <c r="AT33" i="8" s="1"/>
  <c r="Y33" i="8"/>
  <c r="AS33" i="8" s="1"/>
  <c r="X33" i="8"/>
  <c r="AR33" i="8" s="1"/>
  <c r="AA32" i="8"/>
  <c r="AU32" i="8" s="1"/>
  <c r="Z32" i="8"/>
  <c r="AT32" i="8" s="1"/>
  <c r="Y32" i="8"/>
  <c r="AS32" i="8" s="1"/>
  <c r="X32" i="8"/>
  <c r="AR32" i="8" s="1"/>
  <c r="AA31" i="8"/>
  <c r="AU31" i="8" s="1"/>
  <c r="Z31" i="8"/>
  <c r="AT31" i="8" s="1"/>
  <c r="Y31" i="8"/>
  <c r="AS31" i="8" s="1"/>
  <c r="X31" i="8"/>
  <c r="AR31" i="8" s="1"/>
  <c r="AA30" i="8"/>
  <c r="AU30" i="8" s="1"/>
  <c r="Z30" i="8"/>
  <c r="AT30" i="8" s="1"/>
  <c r="Y30" i="8"/>
  <c r="AS30" i="8" s="1"/>
  <c r="X30" i="8"/>
  <c r="AR30" i="8" s="1"/>
  <c r="AA29" i="8"/>
  <c r="AU29" i="8" s="1"/>
  <c r="Z29" i="8"/>
  <c r="AT29" i="8" s="1"/>
  <c r="Y29" i="8"/>
  <c r="AS29" i="8" s="1"/>
  <c r="X29" i="8"/>
  <c r="AR29" i="8" s="1"/>
  <c r="AA28" i="8"/>
  <c r="AU28" i="8" s="1"/>
  <c r="Z28" i="8"/>
  <c r="AT28" i="8" s="1"/>
  <c r="Y28" i="8"/>
  <c r="AS28" i="8" s="1"/>
  <c r="X28" i="8"/>
  <c r="AR28" i="8" s="1"/>
  <c r="AA27" i="8"/>
  <c r="AU27" i="8" s="1"/>
  <c r="Z27" i="8"/>
  <c r="AT27" i="8" s="1"/>
  <c r="Y27" i="8"/>
  <c r="AS27" i="8" s="1"/>
  <c r="X27" i="8"/>
  <c r="AR27" i="8" s="1"/>
  <c r="AA26" i="8"/>
  <c r="AU26" i="8" s="1"/>
  <c r="Z26" i="8"/>
  <c r="AT26" i="8" s="1"/>
  <c r="Y26" i="8"/>
  <c r="AS26" i="8" s="1"/>
  <c r="X26" i="8"/>
  <c r="AR26" i="8" s="1"/>
  <c r="AA24" i="8"/>
  <c r="AU24" i="8" s="1"/>
  <c r="Z24" i="8"/>
  <c r="AT24" i="8" s="1"/>
  <c r="Y24" i="8"/>
  <c r="AS24" i="8" s="1"/>
  <c r="X24" i="8"/>
  <c r="AR24" i="8" s="1"/>
  <c r="AA23" i="8"/>
  <c r="AU23" i="8" s="1"/>
  <c r="Z23" i="8"/>
  <c r="AT23" i="8" s="1"/>
  <c r="Y23" i="8"/>
  <c r="AS23" i="8" s="1"/>
  <c r="X23" i="8"/>
  <c r="AR23" i="8" s="1"/>
  <c r="AA22" i="8"/>
  <c r="AU22" i="8" s="1"/>
  <c r="Z22" i="8"/>
  <c r="AT22" i="8" s="1"/>
  <c r="Y22" i="8"/>
  <c r="AS22" i="8" s="1"/>
  <c r="X22" i="8"/>
  <c r="AR22" i="8" s="1"/>
  <c r="Q24" i="8"/>
  <c r="AK24" i="8" s="1"/>
  <c r="Q23" i="8"/>
  <c r="AK23" i="8" s="1"/>
  <c r="Q22" i="8"/>
  <c r="AK22" i="8" s="1"/>
  <c r="P24" i="8"/>
  <c r="AJ24" i="8" s="1"/>
  <c r="P23" i="8"/>
  <c r="AJ23" i="8" s="1"/>
  <c r="P22" i="8"/>
  <c r="AJ22" i="8" s="1"/>
  <c r="P33" i="8"/>
  <c r="AJ33" i="8" s="1"/>
  <c r="P32" i="8"/>
  <c r="AJ32" i="8" s="1"/>
  <c r="P31" i="8"/>
  <c r="AJ31" i="8" s="1"/>
  <c r="P30" i="8"/>
  <c r="AJ30" i="8" s="1"/>
  <c r="P29" i="8"/>
  <c r="AJ29" i="8" s="1"/>
  <c r="P28" i="8"/>
  <c r="AJ28" i="8" s="1"/>
  <c r="P27" i="8"/>
  <c r="AJ27" i="8" s="1"/>
  <c r="P26" i="8"/>
  <c r="AJ26" i="8" s="1"/>
  <c r="Q33" i="8"/>
  <c r="AK33" i="8" s="1"/>
  <c r="Q32" i="8"/>
  <c r="AK32" i="8" s="1"/>
  <c r="Q31" i="8"/>
  <c r="AK31" i="8" s="1"/>
  <c r="Q30" i="8"/>
  <c r="AK30" i="8" s="1"/>
  <c r="Q29" i="8"/>
  <c r="AK29" i="8" s="1"/>
  <c r="Q28" i="8"/>
  <c r="AK28" i="8" s="1"/>
  <c r="Q27" i="8"/>
  <c r="AK27" i="8" s="1"/>
  <c r="Q26" i="8"/>
  <c r="AK26" i="8" s="1"/>
  <c r="O22" i="8"/>
  <c r="AI22" i="8" s="1"/>
  <c r="O23" i="8"/>
  <c r="AI23" i="8" s="1"/>
  <c r="O24" i="8"/>
  <c r="AI24" i="8" s="1"/>
  <c r="O26" i="8"/>
  <c r="AI26" i="8" s="1"/>
  <c r="O27" i="8"/>
  <c r="AI27" i="8" s="1"/>
  <c r="O28" i="8"/>
  <c r="AI28" i="8" s="1"/>
  <c r="O29" i="8"/>
  <c r="AI29" i="8" s="1"/>
  <c r="O30" i="8"/>
  <c r="AI30" i="8" s="1"/>
  <c r="O31" i="8"/>
  <c r="AI31" i="8" s="1"/>
  <c r="O32" i="8"/>
  <c r="AI32" i="8" s="1"/>
  <c r="O33" i="8"/>
  <c r="AI33" i="8" s="1"/>
  <c r="N33" i="8"/>
  <c r="N32" i="8"/>
  <c r="N31" i="8"/>
  <c r="N30" i="8"/>
  <c r="N29" i="8"/>
  <c r="N28" i="8"/>
  <c r="N27" i="8"/>
  <c r="N22" i="8"/>
  <c r="N23" i="8"/>
  <c r="N24" i="8"/>
  <c r="N26" i="8"/>
  <c r="AH26" i="8" l="1"/>
  <c r="AH31" i="8"/>
  <c r="AH24" i="8"/>
  <c r="AH32" i="8"/>
  <c r="AH29" i="8"/>
  <c r="AH27" i="8"/>
  <c r="AH28" i="8"/>
  <c r="AH23" i="8"/>
  <c r="AH33" i="8"/>
  <c r="AH22" i="8"/>
  <c r="AH30" i="8"/>
  <c r="AA14" i="8"/>
  <c r="AA13" i="8"/>
  <c r="Z14" i="8"/>
  <c r="Z13" i="8"/>
  <c r="I16" i="19"/>
  <c r="G16" i="19"/>
  <c r="F16" i="19"/>
  <c r="E16" i="19"/>
  <c r="H16" i="19" s="1"/>
  <c r="D16" i="19"/>
  <c r="C16" i="19"/>
  <c r="M5" i="8"/>
  <c r="B16" i="18"/>
  <c r="B16" i="19"/>
  <c r="I16" i="18"/>
  <c r="G16" i="18"/>
  <c r="F16" i="18"/>
  <c r="E16" i="18"/>
  <c r="I16" i="23"/>
  <c r="G16" i="23"/>
  <c r="F16" i="23"/>
  <c r="E16" i="23"/>
  <c r="H16" i="23" s="1"/>
  <c r="D16" i="23"/>
  <c r="C16" i="23"/>
  <c r="B16" i="23"/>
  <c r="I16" i="22"/>
  <c r="G16" i="22"/>
  <c r="F16" i="22"/>
  <c r="E16" i="22"/>
  <c r="H16" i="22" s="1"/>
  <c r="D16" i="22"/>
  <c r="C16" i="22"/>
  <c r="B16" i="22"/>
  <c r="I16" i="21"/>
  <c r="G16" i="21"/>
  <c r="F16" i="21"/>
  <c r="E16" i="21"/>
  <c r="H16" i="21" s="1"/>
  <c r="D16" i="21"/>
  <c r="C16" i="21"/>
  <c r="B16" i="21"/>
  <c r="G16" i="13"/>
  <c r="D16" i="13"/>
  <c r="D16" i="18"/>
  <c r="C16" i="18"/>
  <c r="F13" i="19"/>
  <c r="F12" i="19"/>
  <c r="F11" i="19"/>
  <c r="E11" i="19"/>
  <c r="E13" i="19" s="1"/>
  <c r="F13" i="23"/>
  <c r="F12" i="23"/>
  <c r="F11" i="23"/>
  <c r="E11" i="23"/>
  <c r="E13" i="23" s="1"/>
  <c r="F13" i="22"/>
  <c r="F12" i="22"/>
  <c r="F11" i="22"/>
  <c r="E11" i="22"/>
  <c r="E13" i="22" s="1"/>
  <c r="F13" i="21"/>
  <c r="F12" i="21"/>
  <c r="F11" i="21"/>
  <c r="E11" i="21"/>
  <c r="I13" i="21" s="1"/>
  <c r="F16" i="13"/>
  <c r="C16" i="13"/>
  <c r="D5" i="8" l="1"/>
  <c r="D7" i="8"/>
  <c r="I11" i="22"/>
  <c r="K13" i="21"/>
  <c r="K11" i="21"/>
  <c r="I13" i="22"/>
  <c r="K10" i="8"/>
  <c r="G30" i="8"/>
  <c r="B13" i="8"/>
  <c r="J16" i="8"/>
  <c r="E17" i="8"/>
  <c r="I17" i="8"/>
  <c r="D30" i="8"/>
  <c r="H30" i="8"/>
  <c r="B30" i="8"/>
  <c r="E31" i="8"/>
  <c r="I31" i="8"/>
  <c r="B12" i="8"/>
  <c r="D17" i="8"/>
  <c r="C30" i="8"/>
  <c r="D31" i="8"/>
  <c r="K16" i="8"/>
  <c r="F17" i="8"/>
  <c r="J17" i="8"/>
  <c r="E30" i="8"/>
  <c r="I30" i="8"/>
  <c r="B31" i="8"/>
  <c r="F31" i="8"/>
  <c r="J31" i="8"/>
  <c r="H17" i="8"/>
  <c r="K30" i="8"/>
  <c r="H31" i="8"/>
  <c r="B9" i="8"/>
  <c r="B10" i="8"/>
  <c r="F10" i="8"/>
  <c r="D6" i="8"/>
  <c r="B11" i="8"/>
  <c r="J10" i="8"/>
  <c r="J10" i="7" s="1"/>
  <c r="C17" i="8"/>
  <c r="G17" i="8"/>
  <c r="K17" i="8"/>
  <c r="F30" i="8"/>
  <c r="J30" i="8"/>
  <c r="C31" i="8"/>
  <c r="G31" i="8"/>
  <c r="K31" i="8"/>
  <c r="P4" i="8"/>
  <c r="P3" i="8"/>
  <c r="P5" i="8"/>
  <c r="K12" i="21"/>
  <c r="I12" i="22"/>
  <c r="E12" i="19"/>
  <c r="I11" i="19"/>
  <c r="I12" i="19"/>
  <c r="I13" i="19"/>
  <c r="K11" i="19"/>
  <c r="K13" i="19"/>
  <c r="K12" i="19"/>
  <c r="I11" i="23"/>
  <c r="I12" i="23"/>
  <c r="I13" i="23"/>
  <c r="K11" i="23"/>
  <c r="K12" i="23"/>
  <c r="K13" i="23"/>
  <c r="E12" i="23"/>
  <c r="K11" i="22"/>
  <c r="K12" i="22"/>
  <c r="K13" i="22"/>
  <c r="E12" i="22"/>
  <c r="E12" i="21"/>
  <c r="E13" i="21"/>
  <c r="I11" i="21"/>
  <c r="I12" i="21"/>
  <c r="H16" i="18" l="1"/>
  <c r="F13" i="18"/>
  <c r="F12" i="18"/>
  <c r="F11" i="18"/>
  <c r="E11" i="18"/>
  <c r="E13" i="18" s="1"/>
  <c r="I12" i="18" l="1"/>
  <c r="I11" i="18"/>
  <c r="I13" i="18"/>
  <c r="K11" i="18"/>
  <c r="K12" i="18"/>
  <c r="K13" i="18"/>
  <c r="E12" i="18"/>
  <c r="BT24" i="8" l="1"/>
  <c r="BU24" i="8"/>
  <c r="BT25" i="8"/>
  <c r="BU25" i="8"/>
  <c r="BT26" i="8"/>
  <c r="BU26" i="8"/>
  <c r="BT27" i="8"/>
  <c r="BU27" i="8"/>
  <c r="BT28" i="8"/>
  <c r="BU28" i="8"/>
  <c r="BT29" i="8"/>
  <c r="BU29" i="8"/>
  <c r="BT30" i="8"/>
  <c r="BU30" i="8"/>
  <c r="BT31" i="8"/>
  <c r="BU31" i="8"/>
  <c r="BT32" i="8"/>
  <c r="BU32" i="8"/>
  <c r="BT33" i="8"/>
  <c r="BU33" i="8"/>
  <c r="BU23" i="8"/>
  <c r="BT23" i="8"/>
  <c r="BU22" i="8"/>
  <c r="BT22" i="8"/>
  <c r="BP23" i="8"/>
  <c r="BQ23" i="8"/>
  <c r="BP24" i="8"/>
  <c r="BQ24" i="8"/>
  <c r="BP25" i="8"/>
  <c r="BQ25" i="8"/>
  <c r="BP26" i="8"/>
  <c r="BQ26" i="8"/>
  <c r="BP27" i="8"/>
  <c r="BQ27" i="8"/>
  <c r="BP28" i="8"/>
  <c r="BQ28" i="8"/>
  <c r="BP29" i="8"/>
  <c r="BQ29" i="8"/>
  <c r="BP30" i="8"/>
  <c r="BQ30" i="8"/>
  <c r="BP31" i="8"/>
  <c r="BQ31" i="8"/>
  <c r="BP32" i="8"/>
  <c r="BQ32" i="8"/>
  <c r="BP33" i="8"/>
  <c r="BQ33" i="8"/>
  <c r="BQ22" i="8"/>
  <c r="BP22" i="8"/>
  <c r="BD16" i="8" l="1"/>
  <c r="B33" i="7" l="1"/>
  <c r="B32" i="7"/>
  <c r="L15" i="8" l="1"/>
  <c r="L14" i="8"/>
  <c r="Y14" i="8"/>
  <c r="Y13" i="8"/>
  <c r="I16" i="17"/>
  <c r="G16" i="17"/>
  <c r="F16" i="17"/>
  <c r="E16" i="17"/>
  <c r="H16" i="17" s="1"/>
  <c r="D16" i="17"/>
  <c r="C16" i="17"/>
  <c r="B16" i="17"/>
  <c r="F13" i="17"/>
  <c r="F12" i="17"/>
  <c r="F11" i="17"/>
  <c r="E11" i="17"/>
  <c r="E13" i="17" s="1"/>
  <c r="I16" i="16"/>
  <c r="G16" i="16"/>
  <c r="F16" i="16"/>
  <c r="E16" i="16"/>
  <c r="H16" i="16" s="1"/>
  <c r="D16" i="16"/>
  <c r="C16" i="16"/>
  <c r="B16" i="16"/>
  <c r="F13" i="16"/>
  <c r="F12" i="16"/>
  <c r="F11" i="16"/>
  <c r="E11" i="16"/>
  <c r="E13" i="16" s="1"/>
  <c r="X14" i="8"/>
  <c r="X13" i="8"/>
  <c r="E16" i="15"/>
  <c r="H16" i="15" s="1"/>
  <c r="I16" i="15"/>
  <c r="G16" i="14"/>
  <c r="F16" i="14"/>
  <c r="D16" i="14"/>
  <c r="C16" i="14"/>
  <c r="G16" i="9"/>
  <c r="F16" i="9"/>
  <c r="D16" i="9"/>
  <c r="C16" i="9"/>
  <c r="D16" i="15"/>
  <c r="C16" i="15"/>
  <c r="G16" i="15"/>
  <c r="F16" i="15"/>
  <c r="B16" i="15"/>
  <c r="F13" i="15"/>
  <c r="F12" i="15"/>
  <c r="F11" i="15"/>
  <c r="E11" i="15"/>
  <c r="E13" i="15" s="1"/>
  <c r="W14" i="8"/>
  <c r="W13" i="8"/>
  <c r="E16" i="14"/>
  <c r="H16" i="14" s="1"/>
  <c r="I16" i="14"/>
  <c r="B16" i="14"/>
  <c r="F13" i="14"/>
  <c r="F12" i="14"/>
  <c r="F11" i="14"/>
  <c r="E11" i="14"/>
  <c r="E13" i="14" s="1"/>
  <c r="V14" i="8"/>
  <c r="V13" i="8"/>
  <c r="E16" i="13"/>
  <c r="H16" i="13" s="1"/>
  <c r="I16" i="13"/>
  <c r="B16" i="13"/>
  <c r="F13" i="9"/>
  <c r="F13" i="8" s="1"/>
  <c r="F12" i="9"/>
  <c r="F12" i="8" s="1"/>
  <c r="F11" i="9"/>
  <c r="F11" i="8" s="1"/>
  <c r="F13" i="13"/>
  <c r="F12" i="13"/>
  <c r="F11" i="13"/>
  <c r="E11" i="13"/>
  <c r="K12" i="13" s="1"/>
  <c r="C16" i="8" l="1"/>
  <c r="D16" i="8"/>
  <c r="F16" i="8"/>
  <c r="G16" i="8"/>
  <c r="I13" i="17"/>
  <c r="B31" i="7"/>
  <c r="I11" i="17"/>
  <c r="I12" i="17"/>
  <c r="I12" i="16"/>
  <c r="K11" i="17"/>
  <c r="K12" i="17"/>
  <c r="K13" i="17"/>
  <c r="E13" i="13"/>
  <c r="I11" i="16"/>
  <c r="I13" i="16"/>
  <c r="E12" i="17"/>
  <c r="I12" i="15"/>
  <c r="K11" i="13"/>
  <c r="K11" i="16"/>
  <c r="K12" i="16"/>
  <c r="K13" i="16"/>
  <c r="I11" i="15"/>
  <c r="I13" i="15"/>
  <c r="E12" i="16"/>
  <c r="K11" i="15"/>
  <c r="K12" i="15"/>
  <c r="K13" i="15"/>
  <c r="E12" i="15"/>
  <c r="I13" i="13"/>
  <c r="I11" i="14"/>
  <c r="I12" i="14"/>
  <c r="I13" i="14"/>
  <c r="K11" i="14"/>
  <c r="K12" i="14"/>
  <c r="K13" i="14"/>
  <c r="E12" i="13"/>
  <c r="E12" i="14"/>
  <c r="I12" i="13"/>
  <c r="K13" i="13"/>
  <c r="I11" i="13"/>
  <c r="F6" i="7" l="1"/>
  <c r="E16" i="9"/>
  <c r="E11" i="8"/>
  <c r="E11" i="7" s="1"/>
  <c r="E11" i="9"/>
  <c r="I11" i="9" s="1"/>
  <c r="I16" i="9"/>
  <c r="I16" i="8" s="1"/>
  <c r="B16" i="9"/>
  <c r="B16" i="8" s="1"/>
  <c r="H7" i="8"/>
  <c r="J7" i="8" s="1"/>
  <c r="H6" i="8"/>
  <c r="L16" i="8" s="1"/>
  <c r="H5" i="8"/>
  <c r="H4" i="8"/>
  <c r="F5" i="7"/>
  <c r="W18" i="8" l="1"/>
  <c r="X18" i="8"/>
  <c r="Y18" i="8"/>
  <c r="V18" i="8"/>
  <c r="H16" i="9"/>
  <c r="E16" i="8"/>
  <c r="E16" i="7" s="1"/>
  <c r="F7" i="7"/>
  <c r="I12" i="9"/>
  <c r="I13" i="9"/>
  <c r="I11" i="8"/>
  <c r="I12" i="7"/>
  <c r="I11" i="7"/>
  <c r="E13" i="7"/>
  <c r="I13" i="7"/>
  <c r="E12" i="7"/>
  <c r="I12" i="8"/>
  <c r="E12" i="8"/>
  <c r="I13" i="8"/>
  <c r="E13" i="8"/>
  <c r="C16" i="7"/>
  <c r="P18" i="8"/>
  <c r="H16" i="8" l="1"/>
  <c r="H16" i="7" s="1"/>
  <c r="E13" i="9" l="1"/>
  <c r="E12" i="9"/>
  <c r="D11" i="8" l="1"/>
  <c r="Q11" i="8" s="1"/>
  <c r="U14" i="8"/>
  <c r="U13" i="8"/>
  <c r="M15" i="8" s="1"/>
  <c r="M18" i="8" s="1"/>
  <c r="K26" i="8" l="1"/>
  <c r="K21" i="8"/>
  <c r="I23" i="8"/>
  <c r="I29" i="8"/>
  <c r="I19" i="8"/>
  <c r="I24" i="8"/>
  <c r="J24" i="8"/>
  <c r="J20" i="8"/>
  <c r="I20" i="8"/>
  <c r="I27" i="8"/>
  <c r="I18" i="8"/>
  <c r="K24" i="8"/>
  <c r="J26" i="8"/>
  <c r="K27" i="8"/>
  <c r="J27" i="8"/>
  <c r="K20" i="8"/>
  <c r="K23" i="8"/>
  <c r="J29" i="8"/>
  <c r="I28" i="8"/>
  <c r="J25" i="8"/>
  <c r="K28" i="8"/>
  <c r="I22" i="8"/>
  <c r="K22" i="8"/>
  <c r="J28" i="8"/>
  <c r="I26" i="8"/>
  <c r="K18" i="8"/>
  <c r="J23" i="8"/>
  <c r="I25" i="8"/>
  <c r="J21" i="8"/>
  <c r="I21" i="8"/>
  <c r="J18" i="8"/>
  <c r="K19" i="8"/>
  <c r="K29" i="8"/>
  <c r="J22" i="8"/>
  <c r="J19" i="8"/>
  <c r="K25" i="8"/>
  <c r="AB14" i="8"/>
  <c r="M14" i="8"/>
  <c r="AB13" i="8"/>
  <c r="M13" i="8"/>
  <c r="N9" i="8" s="1"/>
  <c r="B17" i="17"/>
  <c r="B25" i="7" l="1"/>
  <c r="B20" i="7"/>
  <c r="B21" i="7"/>
  <c r="B22" i="7"/>
  <c r="B23" i="7"/>
  <c r="B27" i="7"/>
  <c r="B24" i="7"/>
  <c r="B29" i="7"/>
  <c r="B26" i="7"/>
  <c r="B28" i="7"/>
  <c r="B18" i="7"/>
  <c r="B19" i="7"/>
  <c r="B17" i="19"/>
  <c r="B17" i="18"/>
  <c r="B17" i="22"/>
  <c r="B17" i="23"/>
  <c r="B17" i="21"/>
  <c r="B17" i="15"/>
  <c r="B17" i="16"/>
  <c r="B17" i="14"/>
  <c r="B17" i="13"/>
  <c r="B17" i="9"/>
  <c r="B16" i="7"/>
  <c r="B17" i="8" l="1"/>
  <c r="I19" i="7"/>
  <c r="I28" i="7"/>
  <c r="I27" i="7"/>
  <c r="I20" i="7"/>
  <c r="I24" i="7"/>
  <c r="I23" i="7"/>
  <c r="I22" i="7"/>
  <c r="I18" i="7"/>
  <c r="I25" i="7"/>
  <c r="I21" i="7"/>
  <c r="I26" i="7"/>
  <c r="I29" i="7"/>
  <c r="D13" i="8"/>
  <c r="Q13" i="8" s="1"/>
  <c r="B30" i="7" l="1"/>
  <c r="F13" i="7"/>
  <c r="F12" i="7"/>
  <c r="F11" i="7"/>
  <c r="F10" i="7"/>
  <c r="B13" i="7"/>
  <c r="B12" i="7"/>
  <c r="B11" i="7"/>
  <c r="B10" i="7"/>
  <c r="B9" i="7"/>
  <c r="K16" i="7"/>
  <c r="J16" i="7"/>
  <c r="I16" i="7"/>
  <c r="H11" i="8"/>
  <c r="S11" i="8" s="1"/>
  <c r="H12" i="8"/>
  <c r="S12" i="8" s="1"/>
  <c r="H13" i="8"/>
  <c r="S13" i="8" s="1"/>
  <c r="D12" i="8"/>
  <c r="Q12" i="8" s="1"/>
  <c r="C18" i="8" s="1"/>
  <c r="F21" i="8" l="1"/>
  <c r="F24" i="8"/>
  <c r="F26" i="8"/>
  <c r="F19" i="8"/>
  <c r="F20" i="8"/>
  <c r="F25" i="8"/>
  <c r="F23" i="8"/>
  <c r="F18" i="8"/>
  <c r="F28" i="8"/>
  <c r="F29" i="8"/>
  <c r="F27" i="8"/>
  <c r="F22" i="8"/>
  <c r="C25" i="8"/>
  <c r="C20" i="8"/>
  <c r="C22" i="8"/>
  <c r="C23" i="8"/>
  <c r="C29" i="8"/>
  <c r="C26" i="8"/>
  <c r="C27" i="8"/>
  <c r="C21" i="8"/>
  <c r="C19" i="8"/>
  <c r="C28" i="8"/>
  <c r="C24" i="8"/>
  <c r="D16" i="7"/>
  <c r="AP23" i="8"/>
  <c r="G20" i="8" l="1"/>
  <c r="H20" i="8" s="1"/>
  <c r="F20" i="7"/>
  <c r="G25" i="8"/>
  <c r="H25" i="8" s="1"/>
  <c r="F25" i="7"/>
  <c r="G24" i="8"/>
  <c r="H24" i="8" s="1"/>
  <c r="F24" i="7"/>
  <c r="D24" i="8"/>
  <c r="E24" i="8" s="1"/>
  <c r="C24" i="7"/>
  <c r="D28" i="8"/>
  <c r="E28" i="8" s="1"/>
  <c r="C28" i="7"/>
  <c r="D18" i="8"/>
  <c r="E18" i="8" s="1"/>
  <c r="C18" i="7"/>
  <c r="G23" i="8"/>
  <c r="H23" i="8" s="1"/>
  <c r="F23" i="7"/>
  <c r="G22" i="8"/>
  <c r="H22" i="8" s="1"/>
  <c r="F22" i="7"/>
  <c r="G18" i="8"/>
  <c r="H18" i="8" s="1"/>
  <c r="F18" i="7"/>
  <c r="D22" i="8"/>
  <c r="E22" i="8" s="1"/>
  <c r="C22" i="7"/>
  <c r="D20" i="8"/>
  <c r="E20" i="8" s="1"/>
  <c r="C20" i="7"/>
  <c r="D29" i="8"/>
  <c r="E29" i="8" s="1"/>
  <c r="C29" i="7"/>
  <c r="G27" i="8"/>
  <c r="H27" i="8" s="1"/>
  <c r="F27" i="7"/>
  <c r="G26" i="8"/>
  <c r="H26" i="8" s="1"/>
  <c r="F26" i="7"/>
  <c r="G19" i="8"/>
  <c r="H19" i="8" s="1"/>
  <c r="F19" i="7"/>
  <c r="D23" i="8"/>
  <c r="E23" i="8" s="1"/>
  <c r="C23" i="7"/>
  <c r="D26" i="8"/>
  <c r="E26" i="8" s="1"/>
  <c r="C26" i="7"/>
  <c r="D25" i="8"/>
  <c r="E25" i="8" s="1"/>
  <c r="C25" i="7"/>
  <c r="G29" i="8"/>
  <c r="H29" i="8" s="1"/>
  <c r="F29" i="7"/>
  <c r="G21" i="8"/>
  <c r="H21" i="8" s="1"/>
  <c r="F21" i="7"/>
  <c r="G28" i="8"/>
  <c r="H28" i="8" s="1"/>
  <c r="F28" i="7"/>
  <c r="D21" i="8"/>
  <c r="E21" i="8" s="1"/>
  <c r="C21" i="7"/>
  <c r="D19" i="8"/>
  <c r="E19" i="8" s="1"/>
  <c r="C19" i="7"/>
  <c r="D27" i="8"/>
  <c r="E27" i="8" s="1"/>
  <c r="C27" i="7"/>
  <c r="B17" i="7"/>
  <c r="G16" i="7"/>
  <c r="F16" i="7"/>
  <c r="D27" i="7" l="1"/>
  <c r="E27" i="7"/>
  <c r="D21" i="7"/>
  <c r="E21" i="7"/>
  <c r="G21" i="7"/>
  <c r="H21" i="7"/>
  <c r="D25" i="7"/>
  <c r="E25" i="7"/>
  <c r="D23" i="7"/>
  <c r="E23" i="7"/>
  <c r="G26" i="7"/>
  <c r="H26" i="7"/>
  <c r="D29" i="7"/>
  <c r="E29" i="7"/>
  <c r="D22" i="7"/>
  <c r="E22" i="7"/>
  <c r="G22" i="7"/>
  <c r="H22" i="7"/>
  <c r="D18" i="7"/>
  <c r="E18" i="7"/>
  <c r="D24" i="7"/>
  <c r="E24" i="7"/>
  <c r="G25" i="7"/>
  <c r="H25" i="7"/>
  <c r="D19" i="7"/>
  <c r="E19" i="7"/>
  <c r="G28" i="7"/>
  <c r="H28" i="7"/>
  <c r="G29" i="7"/>
  <c r="H29" i="7"/>
  <c r="D26" i="7"/>
  <c r="E26" i="7"/>
  <c r="G19" i="7"/>
  <c r="H19" i="7"/>
  <c r="G27" i="7"/>
  <c r="H27" i="7"/>
  <c r="D20" i="7"/>
  <c r="E20" i="7"/>
  <c r="G18" i="7"/>
  <c r="H18" i="7"/>
  <c r="G23" i="7"/>
  <c r="H23" i="7"/>
  <c r="D28" i="7"/>
  <c r="E28" i="7"/>
  <c r="G24" i="7"/>
  <c r="H24" i="7"/>
  <c r="G20" i="7"/>
  <c r="H20" i="7"/>
  <c r="J24" i="7"/>
  <c r="K26" i="7"/>
  <c r="J21" i="7"/>
  <c r="J27" i="7"/>
  <c r="J22" i="7"/>
  <c r="K19" i="7"/>
  <c r="K22" i="7"/>
  <c r="J18" i="7"/>
  <c r="K25" i="7"/>
  <c r="J20" i="7"/>
  <c r="J23" i="7"/>
  <c r="K28" i="7"/>
  <c r="K27" i="7"/>
  <c r="J19" i="7"/>
  <c r="K24" i="7"/>
  <c r="K23" i="7"/>
  <c r="K21" i="7"/>
  <c r="J29" i="7"/>
  <c r="K29" i="7"/>
  <c r="K18" i="7"/>
  <c r="J25" i="7"/>
  <c r="J26" i="7"/>
  <c r="J28" i="7"/>
  <c r="K20"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Thomas Henson</author>
  </authors>
  <commentList>
    <comment ref="M5" authorId="0" shapeId="0" xr:uid="{00000000-0006-0000-0100-000001000000}">
      <text>
        <r>
          <rPr>
            <b/>
            <sz val="9"/>
            <color indexed="81"/>
            <rFont val="Tahoma"/>
            <family val="2"/>
          </rPr>
          <t>Thomas Henson:</t>
        </r>
        <r>
          <rPr>
            <sz val="9"/>
            <color indexed="81"/>
            <rFont val="Tahoma"/>
            <family val="2"/>
          </rPr>
          <t xml:space="preserve">
Nederlands = 1
English = 2
Deutsch = 3
Français = 4
Norsk = 5
Español = 6</t>
        </r>
      </text>
    </comment>
    <comment ref="N5" authorId="0" shapeId="0" xr:uid="{00000000-0006-0000-0100-000002000000}">
      <text>
        <r>
          <rPr>
            <b/>
            <sz val="9"/>
            <color indexed="81"/>
            <rFont val="Tahoma"/>
            <family val="2"/>
          </rPr>
          <t>Thomas Henson:</t>
        </r>
        <r>
          <rPr>
            <sz val="9"/>
            <color indexed="81"/>
            <rFont val="Tahoma"/>
            <family val="2"/>
          </rPr>
          <t xml:space="preserve">
SI = 1 
Imperial = 2</t>
        </r>
      </text>
    </comment>
  </commentList>
</comments>
</file>

<file path=xl/sharedStrings.xml><?xml version="1.0" encoding="utf-8"?>
<sst xmlns="http://schemas.openxmlformats.org/spreadsheetml/2006/main" count="345" uniqueCount="206">
  <si>
    <t>Temperaturen</t>
  </si>
  <si>
    <t>Hilfsvariablen:</t>
  </si>
  <si>
    <t>Einbau</t>
  </si>
  <si>
    <t>Comfort Stufe  [W]</t>
  </si>
  <si>
    <t>Boost Stufe  [W]</t>
  </si>
  <si>
    <t>Typ 20 Einbau</t>
  </si>
  <si>
    <t>Typ 21 Einbau</t>
  </si>
  <si>
    <t>Typ 20 mit Verkleidung</t>
  </si>
  <si>
    <t>Typ 21 mit Verkleidung</t>
  </si>
  <si>
    <t>Schalldruckpegel Comfort [dB(A)]</t>
  </si>
  <si>
    <t>Schalldruckpegel Boost [dB(A)]</t>
  </si>
  <si>
    <t>Comfort</t>
  </si>
  <si>
    <t>Boost</t>
  </si>
  <si>
    <t>6V</t>
  </si>
  <si>
    <t>9V</t>
  </si>
  <si>
    <t>V Comfort [m³/h]</t>
  </si>
  <si>
    <t>V Boost[m³/h]</t>
  </si>
  <si>
    <t xml:space="preserve"> K Comfort Stufe  [W]</t>
  </si>
  <si>
    <t>K Boost Stufe  [W]</t>
  </si>
  <si>
    <t>H Comfort Stufe  [W]</t>
  </si>
  <si>
    <t xml:space="preserve"> H Boost Stufe  [W]</t>
  </si>
  <si>
    <t>Comfort elektr. Leistungsaufnahme [W]</t>
  </si>
  <si>
    <t>Boost elektr. Leistungsaufnahme [W]</t>
  </si>
  <si>
    <t>Elektr. vermogen [W]</t>
  </si>
  <si>
    <t>Inbouw</t>
  </si>
  <si>
    <t>Met omkasting</t>
  </si>
  <si>
    <t>With casing</t>
  </si>
  <si>
    <t>Uitvoering:</t>
  </si>
  <si>
    <t>Koelen:</t>
  </si>
  <si>
    <t>Verwarmen:</t>
  </si>
  <si>
    <t>Geluidsdruk* [dB(A)]</t>
  </si>
  <si>
    <t>*Geluidsdruk bij een aangenomen ruimtedemping van 8dB(A)</t>
  </si>
  <si>
    <t>Temperatures</t>
  </si>
  <si>
    <t>Cooling:</t>
  </si>
  <si>
    <t>Heating:</t>
  </si>
  <si>
    <t>Version:</t>
  </si>
  <si>
    <t>Built-in</t>
  </si>
  <si>
    <t>Sound pressure* [dB(A)]</t>
  </si>
  <si>
    <t>Kühlen:</t>
  </si>
  <si>
    <t>Heizen:</t>
  </si>
  <si>
    <t>Schalldruckpegel* [dB(A)]</t>
  </si>
  <si>
    <t>Elektr. leistung [W]</t>
  </si>
  <si>
    <t>Températures</t>
  </si>
  <si>
    <t>Refroidir:</t>
  </si>
  <si>
    <t>Chauffer:</t>
  </si>
  <si>
    <t>Cooling</t>
  </si>
  <si>
    <t>Heating</t>
  </si>
  <si>
    <t>Intégré</t>
  </si>
  <si>
    <t>Pression sonore * [dB(A)]</t>
  </si>
  <si>
    <t>Opgelet:
De temperatuur waarbij waterdamp begint te condenseren in de omgevingslucht wordt de dauwpunttemperatuur genoemd. Condensaat kan zowel het apparaat als zijn omgeving beschadigen. Het apparaat schakelt niet uit wanneer het dauwpunt bereikt wordt. De klant moet daarom de dauwpunttemperatuur controleren en voorkomen dat de temperatuur onder het dauwpunt daalt. Jaga N.V.kan niet aansprakelijk worden gesteld voor schade veroorzaakt door condensaat.</t>
  </si>
  <si>
    <t>JAGA N.V. • Verbindingslaan 16 • 3590 Diepenbeek Belgium • T +32 (0)11 29 41 11 • F +32 (0)11 32 35 78 • info@jaga.be • www.jaga.com                                                         KBC IBAN: BE16 459 250 300 174 BIC:KREDBEBB • ING IBAN: BE97 335 009 564 549 BIC: BBRUBEBB • RPR Hasselt 45.752 • BE0413.382.425</t>
  </si>
  <si>
    <t>Avec caisson</t>
  </si>
  <si>
    <t>Puissance électrique [W]</t>
  </si>
  <si>
    <t>Ruimte</t>
  </si>
  <si>
    <t>Water aanvoer</t>
  </si>
  <si>
    <t>Water retour</t>
  </si>
  <si>
    <t>Taal/Language/Sprache/Langue/Språk/Lengua</t>
  </si>
  <si>
    <t>Hoogte [cm]:</t>
  </si>
  <si>
    <t>Nederlands</t>
  </si>
  <si>
    <t>English</t>
  </si>
  <si>
    <t>Deutsch</t>
  </si>
  <si>
    <t>Français</t>
  </si>
  <si>
    <t>Norsk</t>
  </si>
  <si>
    <t>Español</t>
  </si>
  <si>
    <t>Selectiontool Clima Beam</t>
  </si>
  <si>
    <t>Eenheidsstelsel</t>
  </si>
  <si>
    <t>Coëfficienten dP</t>
  </si>
  <si>
    <t>K1</t>
  </si>
  <si>
    <t>n</t>
  </si>
  <si>
    <t>t</t>
  </si>
  <si>
    <t>K2</t>
  </si>
  <si>
    <t>Ventilatorsnelheid</t>
  </si>
  <si>
    <t>Supply water</t>
  </si>
  <si>
    <t>Return water</t>
  </si>
  <si>
    <t>Entering air</t>
  </si>
  <si>
    <t>Model:</t>
  </si>
  <si>
    <t>Height [cm]:</t>
  </si>
  <si>
    <t>Fan speed</t>
  </si>
  <si>
    <t>Unit conversion</t>
  </si>
  <si>
    <t>Vorlauftemp.</t>
  </si>
  <si>
    <t>Rücklauftemp.</t>
  </si>
  <si>
    <t>Raumtemp.</t>
  </si>
  <si>
    <t>Einheiten</t>
  </si>
  <si>
    <t>Drehzahlstufe</t>
  </si>
  <si>
    <t>Höhe [cm]:</t>
  </si>
  <si>
    <t>Temp. entrée</t>
  </si>
  <si>
    <t>Temp. retour</t>
  </si>
  <si>
    <t>Temp. ambiante</t>
  </si>
  <si>
    <t>Temperaturer</t>
  </si>
  <si>
    <t>Varme:</t>
  </si>
  <si>
    <t>Tur vann</t>
  </si>
  <si>
    <t>Retur vann</t>
  </si>
  <si>
    <t>Kjøling:</t>
  </si>
  <si>
    <t>Rom</t>
  </si>
  <si>
    <t>Enhetssystem</t>
  </si>
  <si>
    <t>Modell:</t>
  </si>
  <si>
    <t>Hastighet</t>
  </si>
  <si>
    <t>Høyde [cm]:</t>
  </si>
  <si>
    <t>Lydtrykk * [dB(A)]</t>
  </si>
  <si>
    <t>Elektrisk effekt [W]</t>
  </si>
  <si>
    <t>Innebygd</t>
  </si>
  <si>
    <t>Med hus</t>
  </si>
  <si>
    <t>Temperaturas</t>
  </si>
  <si>
    <t>Calefacción:</t>
  </si>
  <si>
    <t>Enfriamiento:</t>
  </si>
  <si>
    <t>Agua impulsión</t>
  </si>
  <si>
    <t>Agua retorno</t>
  </si>
  <si>
    <t>Ambiente</t>
  </si>
  <si>
    <t>Convers. de unidades</t>
  </si>
  <si>
    <t>Nivel de velocidad</t>
  </si>
  <si>
    <t>Ancho [cm]:</t>
  </si>
  <si>
    <t>Montaje:</t>
  </si>
  <si>
    <t>Empotrado</t>
  </si>
  <si>
    <t>Con Carcasa</t>
  </si>
  <si>
    <t>Presión sonora * [dB(A)]</t>
  </si>
  <si>
    <t>Potencia eléctrica absorbida [W]</t>
  </si>
  <si>
    <t>Hauteur [cm]:</t>
  </si>
  <si>
    <t>Niveau de vitesse</t>
  </si>
  <si>
    <t>* Sound pressure at an assumed room damping of 8dB (A)</t>
  </si>
  <si>
    <t>* Pression acoustique à un amortissement supposé de la pièce de 8 dB (A)</t>
  </si>
  <si>
    <t>* Schalldruck bei einer angenommenen Raumdämpfung von 8dB (A)</t>
  </si>
  <si>
    <t>* Lydtrykk ved antatt romdemping av 8dB (A)</t>
  </si>
  <si>
    <t>* Presión sonora en una sala de amortiguación supuesta de 8dB (A)</t>
  </si>
  <si>
    <t xml:space="preserve">Attention:
The temperature at which water vapor starts to condense in the ambient air is called the dew point temperature. Condensate can damage both the device and its environment. The device does not switch off when the dew point is reached. The customer should therefore check the dew point temperature and prevent the temperature from dropping below the dew point. Jaga N.V. cannot be held liable for damage caused by condensate.
</t>
  </si>
  <si>
    <t>Beachtung:
Die Temperatur, bei der Wasserdampf in der Umgebungsluft zu kondensieren beginnt, wird als Taupunkttemperatur bezeichnet. Kondensat kann sowohl das Gerät als auch seine Umgebung beschädigen. Das Gerät schaltet sich nicht aus, wenn der Taupunkt erreicht ist. Der Kunde sollte daher die Taupunkttemperatur überprüfen und verhindern, dass die Temperatur unter den Taupunkt fällt. Jaga N.V. kann nicht für Schäden haftbar gemacht werden, die durch Kondensat verursacht werden.</t>
  </si>
  <si>
    <t>Attention:
La température à laquelle la vapeur d'eau commence à se condenser dans l'air ambiant est appelée température du point de rosée. Le condensat peut endommager à la fois l'appareil et son environnement. L'appareil ne s'éteint pas lorsque le point de rosée est atteint. Le client doit donc vérifier la température du point de rosée et éviter que la température ne descende en dessous du point de rosée. Jaga N.V.ne peut être tenu responsable des dommages causés par le condensat.</t>
  </si>
  <si>
    <t>Merk følgende:
Temperaturen som vanndamp begynner å kondensere i den omgivende luften kalles duggpunktstemperaturen. Kondensat kan skade både enheten og omgivelsene. Enheten slås ikke av når duggpunktet er nådd. Kunden bør derfor sjekke duggpunktstemperaturen og forhindre at temperaturen faller under duggpunktet. Jaga N.V. kan ikke holdes ansvarlig for skader forårsaket av kondensat.</t>
  </si>
  <si>
    <t>Atención:
La temperatura a la que el vapor de agua comienza a condensarse en el aire ambiente se denomina temperatura del punto de rocío. El condensado puede dañar tanto el dispositivo como su entorno. El dispositivo no se apaga cuando se alcanza el punto de rocío. Por lo tanto, el cliente debe verificar la temperatura del punto de rocío y evitar que la temperatura caiga por debajo del punto de rocío. Jaga N.V. no se hace responsable de los daños causados ​​por el condensado.</t>
  </si>
  <si>
    <t>JAGA N.V. • Verbindingslaan 16 • 3590 Diepenbeek Belgium • T +32 (0)11 29 41 11 • F +32 (0)11 32 35 78 • info@jaga.be •  www.jaga.com</t>
  </si>
  <si>
    <t>KBC IBAN: BE16 459 250 300 174 BIC:KREDBEBB • ING IBAN: BE97 335 009 564 549 BIC: BBRUBEBB • RPR Hasselt 45.752 • BE0413.382.425</t>
  </si>
  <si>
    <t>Typ 08 mit Verkleidung</t>
  </si>
  <si>
    <t>Typ 08 Einbau</t>
  </si>
  <si>
    <t>Värme:</t>
  </si>
  <si>
    <t>Retur</t>
  </si>
  <si>
    <t>Rum (torr)</t>
  </si>
  <si>
    <t>Tillop</t>
  </si>
  <si>
    <t>Kyla:</t>
  </si>
  <si>
    <t>Fläkthastighet</t>
  </si>
  <si>
    <t>Höjd [cm]:</t>
  </si>
  <si>
    <t>Taal/Language/Sprache/Språk/Jazyk</t>
  </si>
  <si>
    <t>Vestavba</t>
  </si>
  <si>
    <t>s pouzdrem</t>
  </si>
  <si>
    <t>Electric power [W]</t>
  </si>
  <si>
    <t>* Ljudtryck med en antagen rumsdämpning på 8dB (A).</t>
  </si>
  <si>
    <t>Ljudtryck* [dB(A)]</t>
  </si>
  <si>
    <t>Effektförbrukning [W]</t>
  </si>
  <si>
    <t>Uppmärksamhet:
Temperaturen vid vilken vattenånga börjar kondensera i den omgivande luften kallas daggpunktstemperatur. Kondens kan skada både enheten och dess omgivning. Enheten stängs inte av när daggpunkten uppnås. Kunden bör därför kontrollera daggpunktstemperaturen och förhindra att temperaturen sjunker under daggpunkten. Jaga N.V. kan inte hållas ansvarigt för skador orsakade av kondensat.</t>
  </si>
  <si>
    <t>* Akustický výkon s předpokládaným útlumem místnosti 8 dB (A).</t>
  </si>
  <si>
    <t>Pozornost:
Teplota, při které začne vodní pára kondenzovat v okolním vzduchu, se nazývá teplota rosného bodu. Kondenzát může poškodit zařízení i jeho okolí. Po dosažení rosného bodu se zařízení nevypne. Zákazník by proto měl zkontrolovat teplotu rosného bodu a zabránit poklesu teploty pod rosný bod. Společnost Jaga N.V. nenese odpovědnost za škody způsobené kondenzátem.</t>
  </si>
  <si>
    <t>Výška [cm]:</t>
  </si>
  <si>
    <t>Převod jednotek</t>
  </si>
  <si>
    <t>Jednotka:</t>
  </si>
  <si>
    <t>Rychlost</t>
  </si>
  <si>
    <t>Teploty</t>
  </si>
  <si>
    <t>Topení:</t>
  </si>
  <si>
    <t>Voda na přívodu</t>
  </si>
  <si>
    <t>Voda na zpátečce</t>
  </si>
  <si>
    <t>Teplota vzduchu</t>
  </si>
  <si>
    <t>Kopírovat všechna data</t>
  </si>
  <si>
    <t>Mezinárodní (Sl)</t>
  </si>
  <si>
    <t>Imperiální</t>
  </si>
  <si>
    <t>Kopiera all data</t>
  </si>
  <si>
    <t>SI-enheter</t>
  </si>
  <si>
    <t>Imperiella-enheter</t>
  </si>
  <si>
    <t>Copiar todos los datos</t>
  </si>
  <si>
    <t>Unidades-SI</t>
  </si>
  <si>
    <t>Unidades-Imperial</t>
  </si>
  <si>
    <t>Kopier alle data</t>
  </si>
  <si>
    <t>Imperiale-enheter</t>
  </si>
  <si>
    <t>Copier toutes des données</t>
  </si>
  <si>
    <t>Unités-SI</t>
  </si>
  <si>
    <t>Unités-Impériales</t>
  </si>
  <si>
    <t>SI-einheiten</t>
  </si>
  <si>
    <t>Imperiale-einheiten</t>
  </si>
  <si>
    <t>Copy all data</t>
  </si>
  <si>
    <t>SI-units</t>
  </si>
  <si>
    <t>Imperial-units</t>
  </si>
  <si>
    <t>Kopieer alle data</t>
  </si>
  <si>
    <t>SI-eenheden</t>
  </si>
  <si>
    <t>Imperiale-eenheden</t>
  </si>
  <si>
    <t>Svenska</t>
  </si>
  <si>
    <t>Čeština</t>
  </si>
  <si>
    <t>ExtraTaal1</t>
  </si>
  <si>
    <t>ExtraTaal2</t>
  </si>
  <si>
    <t>ExtraTaal3</t>
  </si>
  <si>
    <t>Akustický tlak* [dB(A)]</t>
  </si>
  <si>
    <t>Elektrický výkon [W]</t>
  </si>
  <si>
    <t>Chlazení:</t>
  </si>
  <si>
    <t>T20 C</t>
  </si>
  <si>
    <t>T20 B</t>
  </si>
  <si>
    <t>T21 C</t>
  </si>
  <si>
    <t>T21 B</t>
  </si>
  <si>
    <t>T08 C</t>
  </si>
  <si>
    <t>T08 B</t>
  </si>
  <si>
    <t>Daten kopieren</t>
  </si>
  <si>
    <t>mit Verkleidung</t>
  </si>
  <si>
    <t>Ausführung:</t>
  </si>
  <si>
    <t>T08WW</t>
  </si>
  <si>
    <t>T20</t>
  </si>
  <si>
    <t>T21</t>
  </si>
  <si>
    <t>KV waarde</t>
  </si>
  <si>
    <t>gekozen KV</t>
  </si>
  <si>
    <t>hoogtes</t>
  </si>
  <si>
    <t>gekozen hoogte</t>
  </si>
  <si>
    <t>15,3</t>
  </si>
  <si>
    <t>v2024-03-26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</si>
</sst>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00"/>
    <numFmt numFmtId="166" formatCode="0.000000"/>
  </numFmts>
  <fonts count="25" x14ac:knownFonts="1">
    <font>
      <sz val="11"/>
      <color theme="1"/>
      <name val="Calibri"/>
      <family val="2"/>
      <scheme val="minor"/>
    </font>
    <font>
      <sz val="8"/>
      <name val="Calibri"/>
      <family val="2"/>
      <scheme val="minor"/>
    </font>
    <font>
      <u/>
      <sz val="11"/>
      <color theme="10"/>
      <name val="Calibri"/>
      <family val="2"/>
      <scheme val="minor"/>
    </font>
    <font>
      <u/>
      <sz val="11"/>
      <color theme="11"/>
      <name val="Calibri"/>
      <family val="2"/>
      <scheme val="minor"/>
    </font>
    <font>
      <i/>
      <sz val="11"/>
      <name val="Calibri"/>
      <family val="2"/>
      <scheme val="minor"/>
    </font>
    <font>
      <b/>
      <sz val="11"/>
      <name val="Calibri"/>
      <family val="2"/>
      <scheme val="minor"/>
    </font>
    <font>
      <sz val="11"/>
      <name val="Calibri"/>
      <family val="2"/>
      <scheme val="minor"/>
    </font>
    <font>
      <sz val="9"/>
      <name val="Calibri"/>
      <family val="2"/>
      <scheme val="minor"/>
    </font>
    <font>
      <sz val="8"/>
      <color theme="1"/>
      <name val="Calibri"/>
      <family val="2"/>
      <scheme val="minor"/>
    </font>
    <font>
      <sz val="11"/>
      <color theme="0" tint="-0.499984740745262"/>
      <name val="Calibri"/>
      <family val="2"/>
      <scheme val="minor"/>
    </font>
    <font>
      <i/>
      <sz val="9"/>
      <color theme="1"/>
      <name val="Calibri"/>
      <family val="2"/>
      <scheme val="minor"/>
    </font>
    <font>
      <b/>
      <sz val="20"/>
      <name val="Calibri"/>
      <family val="2"/>
      <scheme val="minor"/>
    </font>
    <font>
      <b/>
      <sz val="11"/>
      <color theme="5" tint="-0.249977111117893"/>
      <name val="Calibri"/>
      <family val="2"/>
      <scheme val="minor"/>
    </font>
    <font>
      <b/>
      <sz val="11"/>
      <color rgb="FFFF0000"/>
      <name val="Calibri"/>
      <family val="2"/>
      <scheme val="minor"/>
    </font>
    <font>
      <b/>
      <sz val="11"/>
      <color rgb="FF0070C0"/>
      <name val="Calibri"/>
      <family val="2"/>
      <scheme val="minor"/>
    </font>
    <font>
      <b/>
      <sz val="11"/>
      <color theme="9" tint="-0.249977111117893"/>
      <name val="Calibri"/>
      <family val="2"/>
      <scheme val="minor"/>
    </font>
    <font>
      <b/>
      <sz val="11"/>
      <color theme="7" tint="-0.249977111117893"/>
      <name val="Calibri"/>
      <family val="2"/>
      <scheme val="minor"/>
    </font>
    <font>
      <i/>
      <sz val="9"/>
      <name val="Calibri"/>
      <family val="2"/>
      <scheme val="minor"/>
    </font>
    <font>
      <sz val="9"/>
      <color indexed="81"/>
      <name val="Tahoma"/>
      <family val="2"/>
    </font>
    <font>
      <b/>
      <sz val="9"/>
      <color indexed="81"/>
      <name val="Tahoma"/>
      <family val="2"/>
    </font>
    <font>
      <sz val="7"/>
      <name val="Calibri"/>
      <family val="2"/>
      <scheme val="minor"/>
    </font>
    <font>
      <i/>
      <sz val="10"/>
      <name val="Calibri"/>
      <family val="2"/>
      <scheme val="minor"/>
    </font>
    <font>
      <sz val="11"/>
      <color rgb="FFFF0000"/>
      <name val="Calibri"/>
      <family val="2"/>
      <scheme val="minor"/>
    </font>
    <font>
      <b/>
      <sz val="11"/>
      <color theme="1"/>
      <name val="Calibri"/>
      <family val="2"/>
      <scheme val="minor"/>
    </font>
    <font>
      <sz val="11"/>
      <color theme="9"/>
      <name val="Calibri"/>
      <family val="2"/>
      <scheme val="minor"/>
    </font>
  </fonts>
  <fills count="9">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4" tint="0.79998168889431442"/>
        <bgColor indexed="64"/>
      </patternFill>
    </fill>
  </fills>
  <borders count="53">
    <border>
      <left/>
      <right/>
      <top/>
      <bottom/>
      <diagonal/>
    </border>
    <border>
      <left style="thin">
        <color auto="1"/>
      </left>
      <right style="thin">
        <color auto="1"/>
      </right>
      <top style="thin">
        <color auto="1"/>
      </top>
      <bottom style="thin">
        <color auto="1"/>
      </bottom>
      <diagonal/>
    </border>
    <border>
      <left style="thin">
        <color theme="0" tint="-0.34998626667073579"/>
      </left>
      <right/>
      <top style="thin">
        <color theme="0" tint="-0.34998626667073579"/>
      </top>
      <bottom/>
      <diagonal/>
    </border>
    <border>
      <left/>
      <right/>
      <top style="thin">
        <color theme="0" tint="-0.34998626667073579"/>
      </top>
      <bottom/>
      <diagonal/>
    </border>
    <border>
      <left style="thin">
        <color theme="0" tint="-0.34998626667073579"/>
      </left>
      <right/>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auto="1"/>
      </right>
      <top style="thin">
        <color auto="1"/>
      </top>
      <bottom style="thin">
        <color auto="1"/>
      </bottom>
      <diagonal/>
    </border>
    <border>
      <left/>
      <right style="thin">
        <color theme="6"/>
      </right>
      <top/>
      <bottom/>
      <diagonal/>
    </border>
    <border>
      <left/>
      <right/>
      <top/>
      <bottom style="thin">
        <color theme="6"/>
      </bottom>
      <diagonal/>
    </border>
    <border>
      <left/>
      <right style="thin">
        <color theme="6"/>
      </right>
      <top/>
      <bottom style="thin">
        <color theme="6"/>
      </bottom>
      <diagonal/>
    </border>
    <border>
      <left style="thin">
        <color theme="6"/>
      </left>
      <right/>
      <top style="thin">
        <color theme="6"/>
      </top>
      <bottom/>
      <diagonal/>
    </border>
    <border>
      <left/>
      <right/>
      <top style="thin">
        <color theme="6"/>
      </top>
      <bottom/>
      <diagonal/>
    </border>
    <border>
      <left/>
      <right style="thin">
        <color theme="6"/>
      </right>
      <top style="thin">
        <color theme="6"/>
      </top>
      <bottom/>
      <diagonal/>
    </border>
    <border>
      <left style="thin">
        <color theme="6"/>
      </left>
      <right/>
      <top/>
      <bottom/>
      <diagonal/>
    </border>
    <border>
      <left style="thin">
        <color theme="6"/>
      </left>
      <right/>
      <top/>
      <bottom style="thin">
        <color theme="6"/>
      </bottom>
      <diagonal/>
    </border>
    <border>
      <left style="thin">
        <color theme="6"/>
      </left>
      <right style="thin">
        <color theme="6"/>
      </right>
      <top style="thin">
        <color theme="6"/>
      </top>
      <bottom style="thin">
        <color theme="6"/>
      </bottom>
      <diagonal/>
    </border>
    <border>
      <left style="thin">
        <color theme="6"/>
      </left>
      <right/>
      <top style="thin">
        <color theme="6"/>
      </top>
      <bottom style="thin">
        <color theme="6"/>
      </bottom>
      <diagonal/>
    </border>
    <border>
      <left/>
      <right style="thin">
        <color theme="6"/>
      </right>
      <top style="thin">
        <color theme="6"/>
      </top>
      <bottom style="thin">
        <color theme="6"/>
      </bottom>
      <diagonal/>
    </border>
    <border>
      <left style="medium">
        <color theme="6"/>
      </left>
      <right style="thin">
        <color theme="6"/>
      </right>
      <top style="medium">
        <color theme="6"/>
      </top>
      <bottom style="thin">
        <color theme="6"/>
      </bottom>
      <diagonal/>
    </border>
    <border>
      <left style="thin">
        <color theme="6"/>
      </left>
      <right style="thin">
        <color theme="6"/>
      </right>
      <top style="medium">
        <color theme="6"/>
      </top>
      <bottom style="thin">
        <color theme="6"/>
      </bottom>
      <diagonal/>
    </border>
    <border>
      <left style="medium">
        <color theme="6"/>
      </left>
      <right style="thin">
        <color theme="6"/>
      </right>
      <top style="thin">
        <color theme="6"/>
      </top>
      <bottom style="thin">
        <color theme="6"/>
      </bottom>
      <diagonal/>
    </border>
    <border>
      <left style="thin">
        <color theme="6"/>
      </left>
      <right style="medium">
        <color theme="6"/>
      </right>
      <top style="thin">
        <color theme="6"/>
      </top>
      <bottom style="thin">
        <color theme="6"/>
      </bottom>
      <diagonal/>
    </border>
    <border>
      <left style="thin">
        <color indexed="64"/>
      </left>
      <right/>
      <top style="thin">
        <color indexed="64"/>
      </top>
      <bottom style="thin">
        <color indexed="64"/>
      </bottom>
      <diagonal/>
    </border>
    <border>
      <left/>
      <right style="thin">
        <color theme="6"/>
      </right>
      <top style="medium">
        <color theme="6"/>
      </top>
      <bottom style="thin">
        <color theme="6"/>
      </bottom>
      <diagonal/>
    </border>
    <border>
      <left/>
      <right/>
      <top style="thin">
        <color theme="0" tint="-0.249977111117893"/>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theme="0" tint="-0.34998626667073579"/>
      </right>
      <top style="thin">
        <color theme="0" tint="-0.34998626667073579"/>
      </top>
      <bottom/>
      <diagonal/>
    </border>
    <border>
      <left/>
      <right style="thin">
        <color theme="0" tint="-0.34998626667073579"/>
      </right>
      <top/>
      <bottom/>
      <diagonal/>
    </border>
    <border>
      <left style="double">
        <color indexed="64"/>
      </left>
      <right/>
      <top style="thin">
        <color indexed="64"/>
      </top>
      <bottom style="thin">
        <color indexed="64"/>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indexed="64"/>
      </left>
      <right/>
      <top style="double">
        <color indexed="64"/>
      </top>
      <bottom/>
      <diagonal/>
    </border>
    <border>
      <left/>
      <right style="thin">
        <color indexed="64"/>
      </right>
      <top style="double">
        <color indexed="64"/>
      </top>
      <bottom/>
      <diagonal/>
    </border>
    <border>
      <left style="hair">
        <color theme="6"/>
      </left>
      <right style="hair">
        <color theme="6"/>
      </right>
      <top style="thin">
        <color theme="6"/>
      </top>
      <bottom style="thin">
        <color theme="6"/>
      </bottom>
      <diagonal/>
    </border>
    <border>
      <left style="hair">
        <color theme="6"/>
      </left>
      <right style="thin">
        <color theme="6"/>
      </right>
      <top style="thin">
        <color theme="6"/>
      </top>
      <bottom style="thin">
        <color theme="6"/>
      </bottom>
      <diagonal/>
    </border>
    <border>
      <left style="hair">
        <color theme="6"/>
      </left>
      <right/>
      <top style="thin">
        <color theme="6"/>
      </top>
      <bottom style="thin">
        <color theme="6"/>
      </bottom>
      <diagonal/>
    </border>
    <border>
      <left style="medium">
        <color theme="6"/>
      </left>
      <right/>
      <top style="medium">
        <color theme="6"/>
      </top>
      <bottom style="thin">
        <color theme="6"/>
      </bottom>
      <diagonal/>
    </border>
    <border>
      <left/>
      <right/>
      <top style="medium">
        <color theme="6"/>
      </top>
      <bottom style="thin">
        <color theme="6"/>
      </bottom>
      <diagonal/>
    </border>
    <border>
      <left/>
      <right style="medium">
        <color theme="6"/>
      </right>
      <top style="medium">
        <color theme="6"/>
      </top>
      <bottom style="thin">
        <color theme="6"/>
      </bottom>
      <diagonal/>
    </border>
    <border>
      <left style="thin">
        <color theme="6"/>
      </left>
      <right style="thin">
        <color theme="6"/>
      </right>
      <top/>
      <bottom style="thin">
        <color theme="6"/>
      </bottom>
      <diagonal/>
    </border>
    <border>
      <left style="thin">
        <color theme="6"/>
      </left>
      <right style="medium">
        <color theme="6"/>
      </right>
      <top/>
      <bottom style="thin">
        <color theme="6"/>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s>
  <cellStyleXfs count="23">
    <xf numFmtId="0" fontId="0" fillId="0" borderId="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cellStyleXfs>
  <cellXfs count="145">
    <xf numFmtId="0" fontId="0" fillId="0" borderId="0" xfId="0"/>
    <xf numFmtId="0" fontId="6" fillId="2" borderId="0" xfId="0" applyFont="1" applyFill="1"/>
    <xf numFmtId="0" fontId="6" fillId="4" borderId="1" xfId="0" applyFont="1" applyFill="1" applyBorder="1" applyAlignment="1" applyProtection="1">
      <alignment horizontal="center"/>
      <protection locked="0"/>
    </xf>
    <xf numFmtId="0" fontId="6" fillId="2" borderId="16" xfId="0" applyFont="1" applyFill="1" applyBorder="1"/>
    <xf numFmtId="1" fontId="6" fillId="2" borderId="16" xfId="0" applyNumberFormat="1" applyFont="1" applyFill="1" applyBorder="1"/>
    <xf numFmtId="0" fontId="5" fillId="3" borderId="16" xfId="0" applyFont="1" applyFill="1" applyBorder="1" applyAlignment="1">
      <alignment horizontal="center" vertical="center" textRotation="90" wrapText="1"/>
    </xf>
    <xf numFmtId="0" fontId="6" fillId="2" borderId="17" xfId="0" applyFont="1" applyFill="1" applyBorder="1"/>
    <xf numFmtId="0" fontId="5" fillId="3" borderId="21" xfId="0" applyFont="1" applyFill="1" applyBorder="1" applyAlignment="1">
      <alignment horizontal="center" vertical="center" textRotation="90" wrapText="1"/>
    </xf>
    <xf numFmtId="0" fontId="5" fillId="3" borderId="22" xfId="0" applyFont="1" applyFill="1" applyBorder="1" applyAlignment="1">
      <alignment horizontal="center" vertical="center" textRotation="90" wrapText="1"/>
    </xf>
    <xf numFmtId="1" fontId="6" fillId="2" borderId="22" xfId="0" applyNumberFormat="1" applyFont="1" applyFill="1" applyBorder="1"/>
    <xf numFmtId="0" fontId="6" fillId="2" borderId="22" xfId="0" applyFont="1" applyFill="1" applyBorder="1"/>
    <xf numFmtId="0" fontId="0" fillId="2" borderId="0" xfId="0" applyFill="1"/>
    <xf numFmtId="0" fontId="6" fillId="2" borderId="0" xfId="0" applyFont="1" applyFill="1" applyProtection="1">
      <protection hidden="1"/>
    </xf>
    <xf numFmtId="0" fontId="5" fillId="2" borderId="0" xfId="0" applyFont="1" applyFill="1" applyProtection="1">
      <protection hidden="1"/>
    </xf>
    <xf numFmtId="0" fontId="4" fillId="2" borderId="0" xfId="0" applyFont="1" applyFill="1" applyProtection="1">
      <protection hidden="1"/>
    </xf>
    <xf numFmtId="0" fontId="5" fillId="3" borderId="2" xfId="0" applyFont="1" applyFill="1" applyBorder="1" applyProtection="1">
      <protection hidden="1"/>
    </xf>
    <xf numFmtId="0" fontId="6" fillId="3" borderId="3" xfId="0" applyFont="1" applyFill="1" applyBorder="1" applyProtection="1">
      <protection hidden="1"/>
    </xf>
    <xf numFmtId="0" fontId="5" fillId="3" borderId="4" xfId="0" applyFont="1" applyFill="1" applyBorder="1" applyProtection="1">
      <protection hidden="1"/>
    </xf>
    <xf numFmtId="0" fontId="6" fillId="3" borderId="0" xfId="0" applyFont="1" applyFill="1" applyProtection="1">
      <protection hidden="1"/>
    </xf>
    <xf numFmtId="0" fontId="5" fillId="3" borderId="0" xfId="0" applyFont="1" applyFill="1" applyProtection="1">
      <protection hidden="1"/>
    </xf>
    <xf numFmtId="0" fontId="5" fillId="3" borderId="5" xfId="0" applyFont="1" applyFill="1" applyBorder="1" applyAlignment="1" applyProtection="1">
      <alignment horizontal="left"/>
      <protection hidden="1"/>
    </xf>
    <xf numFmtId="0" fontId="5" fillId="3" borderId="6" xfId="0" applyFont="1" applyFill="1" applyBorder="1" applyAlignment="1" applyProtection="1">
      <alignment horizontal="left"/>
      <protection hidden="1"/>
    </xf>
    <xf numFmtId="0" fontId="6" fillId="3" borderId="6" xfId="0" applyFont="1" applyFill="1" applyBorder="1" applyProtection="1">
      <protection hidden="1"/>
    </xf>
    <xf numFmtId="0" fontId="6" fillId="2" borderId="0" xfId="0" applyFont="1" applyFill="1" applyAlignment="1" applyProtection="1">
      <alignment horizontal="center" vertical="center" wrapText="1"/>
      <protection hidden="1"/>
    </xf>
    <xf numFmtId="1" fontId="6" fillId="2" borderId="11" xfId="0" applyNumberFormat="1" applyFont="1" applyFill="1" applyBorder="1" applyAlignment="1" applyProtection="1">
      <alignment horizontal="center" vertical="center" wrapText="1"/>
      <protection hidden="1"/>
    </xf>
    <xf numFmtId="1" fontId="6" fillId="2" borderId="13" xfId="0" applyNumberFormat="1" applyFont="1" applyFill="1" applyBorder="1" applyAlignment="1" applyProtection="1">
      <alignment horizontal="center" vertical="center" wrapText="1"/>
      <protection hidden="1"/>
    </xf>
    <xf numFmtId="1" fontId="6" fillId="2" borderId="12" xfId="0" applyNumberFormat="1" applyFont="1" applyFill="1" applyBorder="1" applyAlignment="1" applyProtection="1">
      <alignment horizontal="center" vertical="center" wrapText="1"/>
      <protection hidden="1"/>
    </xf>
    <xf numFmtId="1" fontId="6" fillId="2" borderId="14" xfId="0" applyNumberFormat="1" applyFont="1" applyFill="1" applyBorder="1" applyAlignment="1" applyProtection="1">
      <alignment horizontal="center" vertical="center" wrapText="1"/>
      <protection hidden="1"/>
    </xf>
    <xf numFmtId="1" fontId="6" fillId="2" borderId="8" xfId="0" applyNumberFormat="1" applyFont="1" applyFill="1" applyBorder="1" applyAlignment="1" applyProtection="1">
      <alignment horizontal="center" vertical="center" wrapText="1"/>
      <protection hidden="1"/>
    </xf>
    <xf numFmtId="1" fontId="6" fillId="2" borderId="0" xfId="0" applyNumberFormat="1" applyFont="1" applyFill="1" applyAlignment="1" applyProtection="1">
      <alignment horizontal="center" vertical="center" wrapText="1"/>
      <protection hidden="1"/>
    </xf>
    <xf numFmtId="1" fontId="6" fillId="2" borderId="15" xfId="0" applyNumberFormat="1" applyFont="1" applyFill="1" applyBorder="1" applyAlignment="1" applyProtection="1">
      <alignment horizontal="center" vertical="center" wrapText="1"/>
      <protection hidden="1"/>
    </xf>
    <xf numFmtId="1" fontId="6" fillId="2" borderId="10" xfId="0" applyNumberFormat="1" applyFont="1" applyFill="1" applyBorder="1" applyAlignment="1" applyProtection="1">
      <alignment horizontal="center" vertical="center" wrapText="1"/>
      <protection hidden="1"/>
    </xf>
    <xf numFmtId="1" fontId="6" fillId="2" borderId="9" xfId="0" applyNumberFormat="1" applyFont="1" applyFill="1" applyBorder="1" applyAlignment="1" applyProtection="1">
      <alignment horizontal="center" vertical="center" wrapText="1"/>
      <protection hidden="1"/>
    </xf>
    <xf numFmtId="1" fontId="6" fillId="2" borderId="25" xfId="0" applyNumberFormat="1" applyFont="1" applyFill="1" applyBorder="1" applyAlignment="1" applyProtection="1">
      <alignment horizontal="center" vertical="center" wrapText="1"/>
      <protection hidden="1"/>
    </xf>
    <xf numFmtId="0" fontId="6" fillId="4" borderId="1" xfId="0" applyFont="1" applyFill="1" applyBorder="1" applyAlignment="1">
      <alignment horizontal="center"/>
    </xf>
    <xf numFmtId="0" fontId="6" fillId="2" borderId="0" xfId="0" applyFont="1" applyFill="1" applyAlignment="1">
      <alignment horizontal="center" vertical="center" wrapText="1"/>
    </xf>
    <xf numFmtId="1" fontId="7" fillId="2" borderId="0" xfId="0" applyNumberFormat="1" applyFont="1" applyFill="1" applyAlignment="1" applyProtection="1">
      <alignment horizontal="right" vertical="center" wrapText="1"/>
      <protection hidden="1"/>
    </xf>
    <xf numFmtId="0" fontId="8" fillId="2" borderId="0" xfId="0" applyFont="1" applyFill="1" applyAlignment="1">
      <alignment horizontal="center" vertical="center" wrapText="1"/>
    </xf>
    <xf numFmtId="0" fontId="9" fillId="2" borderId="0" xfId="0" applyFont="1" applyFill="1" applyAlignment="1" applyProtection="1">
      <alignment vertical="center"/>
      <protection hidden="1"/>
    </xf>
    <xf numFmtId="0" fontId="6" fillId="3" borderId="34" xfId="0" applyFont="1" applyFill="1" applyBorder="1" applyProtection="1">
      <protection hidden="1"/>
    </xf>
    <xf numFmtId="0" fontId="6" fillId="3" borderId="35" xfId="0" applyFont="1" applyFill="1" applyBorder="1" applyProtection="1">
      <protection hidden="1"/>
    </xf>
    <xf numFmtId="0" fontId="6" fillId="3" borderId="4" xfId="0" applyFont="1" applyFill="1" applyBorder="1" applyProtection="1">
      <protection hidden="1"/>
    </xf>
    <xf numFmtId="0" fontId="6" fillId="3" borderId="32" xfId="0" applyFont="1" applyFill="1" applyBorder="1" applyProtection="1">
      <protection hidden="1"/>
    </xf>
    <xf numFmtId="1" fontId="7" fillId="2" borderId="0" xfId="0" applyNumberFormat="1" applyFont="1" applyFill="1" applyAlignment="1" applyProtection="1">
      <alignment horizontal="right" vertical="center"/>
      <protection hidden="1"/>
    </xf>
    <xf numFmtId="0" fontId="6" fillId="2" borderId="3" xfId="0" applyFont="1" applyFill="1" applyBorder="1" applyAlignment="1" applyProtection="1">
      <alignment horizontal="center" vertical="center"/>
      <protection hidden="1"/>
    </xf>
    <xf numFmtId="0" fontId="6" fillId="2" borderId="3" xfId="0" applyFont="1" applyFill="1" applyBorder="1" applyProtection="1">
      <protection hidden="1"/>
    </xf>
    <xf numFmtId="0" fontId="1" fillId="2" borderId="0" xfId="0" applyFont="1" applyFill="1" applyAlignment="1" applyProtection="1">
      <alignment vertical="top" wrapText="1"/>
      <protection hidden="1"/>
    </xf>
    <xf numFmtId="0" fontId="1" fillId="2" borderId="0" xfId="0" applyFont="1" applyFill="1" applyAlignment="1" applyProtection="1">
      <alignment wrapText="1"/>
      <protection hidden="1"/>
    </xf>
    <xf numFmtId="0" fontId="16" fillId="3" borderId="17" xfId="0" applyFont="1" applyFill="1" applyBorder="1" applyAlignment="1" applyProtection="1">
      <alignment horizontal="center" vertical="center" textRotation="90" wrapText="1"/>
      <protection hidden="1"/>
    </xf>
    <xf numFmtId="0" fontId="15" fillId="3" borderId="42" xfId="0" applyFont="1" applyFill="1" applyBorder="1" applyAlignment="1" applyProtection="1">
      <alignment horizontal="center" vertical="center" textRotation="90" wrapText="1"/>
      <protection hidden="1"/>
    </xf>
    <xf numFmtId="0" fontId="12" fillId="3" borderId="43" xfId="0" applyFont="1" applyFill="1" applyBorder="1" applyAlignment="1" applyProtection="1">
      <alignment horizontal="center" vertical="center" textRotation="90" wrapText="1"/>
      <protection hidden="1"/>
    </xf>
    <xf numFmtId="164" fontId="6" fillId="2" borderId="0" xfId="0" applyNumberFormat="1" applyFont="1" applyFill="1" applyAlignment="1" applyProtection="1">
      <alignment horizontal="center" vertical="center" wrapText="1"/>
      <protection hidden="1"/>
    </xf>
    <xf numFmtId="164" fontId="6" fillId="2" borderId="9" xfId="0" applyNumberFormat="1" applyFont="1" applyFill="1" applyBorder="1" applyAlignment="1" applyProtection="1">
      <alignment horizontal="center" vertical="center" wrapText="1"/>
      <protection hidden="1"/>
    </xf>
    <xf numFmtId="0" fontId="6" fillId="2" borderId="8" xfId="0" applyFont="1" applyFill="1" applyBorder="1" applyProtection="1">
      <protection hidden="1"/>
    </xf>
    <xf numFmtId="0" fontId="5" fillId="3" borderId="43" xfId="0" applyFont="1" applyFill="1" applyBorder="1" applyAlignment="1" applyProtection="1">
      <alignment horizontal="center" vertical="center" textRotation="90" wrapText="1"/>
      <protection hidden="1"/>
    </xf>
    <xf numFmtId="0" fontId="5" fillId="3" borderId="17" xfId="0" applyFont="1" applyFill="1" applyBorder="1" applyAlignment="1" applyProtection="1">
      <alignment horizontal="center" vertical="center" textRotation="90" wrapText="1"/>
      <protection hidden="1"/>
    </xf>
    <xf numFmtId="0" fontId="13" fillId="3" borderId="17" xfId="0" applyFont="1" applyFill="1" applyBorder="1" applyAlignment="1" applyProtection="1">
      <alignment horizontal="center" vertical="center" textRotation="90" wrapText="1"/>
      <protection hidden="1"/>
    </xf>
    <xf numFmtId="0" fontId="5" fillId="3" borderId="44" xfId="0" applyFont="1" applyFill="1" applyBorder="1" applyAlignment="1" applyProtection="1">
      <alignment horizontal="center" vertical="center" textRotation="90" wrapText="1"/>
      <protection hidden="1"/>
    </xf>
    <xf numFmtId="0" fontId="14" fillId="3" borderId="17" xfId="0" applyFont="1" applyFill="1" applyBorder="1" applyAlignment="1" applyProtection="1">
      <alignment horizontal="center" vertical="center" textRotation="90" wrapText="1"/>
      <protection hidden="1"/>
    </xf>
    <xf numFmtId="0" fontId="6" fillId="2" borderId="11" xfId="0" applyFont="1" applyFill="1" applyBorder="1" applyAlignment="1" applyProtection="1">
      <alignment horizontal="center"/>
      <protection hidden="1"/>
    </xf>
    <xf numFmtId="164" fontId="6" fillId="2" borderId="12" xfId="0" applyNumberFormat="1" applyFont="1" applyFill="1" applyBorder="1" applyAlignment="1" applyProtection="1">
      <alignment horizontal="center" vertical="center" wrapText="1"/>
      <protection hidden="1"/>
    </xf>
    <xf numFmtId="0" fontId="6" fillId="2" borderId="13" xfId="0" applyFont="1" applyFill="1" applyBorder="1" applyProtection="1">
      <protection hidden="1"/>
    </xf>
    <xf numFmtId="0" fontId="6" fillId="2" borderId="14" xfId="0" applyFont="1" applyFill="1" applyBorder="1" applyAlignment="1" applyProtection="1">
      <alignment horizontal="center"/>
      <protection hidden="1"/>
    </xf>
    <xf numFmtId="0" fontId="6" fillId="2" borderId="15" xfId="0" applyFont="1" applyFill="1" applyBorder="1" applyAlignment="1" applyProtection="1">
      <alignment horizontal="center"/>
      <protection hidden="1"/>
    </xf>
    <xf numFmtId="0" fontId="6" fillId="2" borderId="10" xfId="0" applyFont="1" applyFill="1" applyBorder="1" applyProtection="1">
      <protection hidden="1"/>
    </xf>
    <xf numFmtId="164" fontId="6" fillId="2" borderId="13" xfId="0" applyNumberFormat="1" applyFont="1" applyFill="1" applyBorder="1" applyAlignment="1" applyProtection="1">
      <alignment horizontal="center"/>
      <protection hidden="1"/>
    </xf>
    <xf numFmtId="0" fontId="0" fillId="2" borderId="1" xfId="0" applyFill="1" applyBorder="1"/>
    <xf numFmtId="164" fontId="6" fillId="2" borderId="8" xfId="0" applyNumberFormat="1" applyFont="1" applyFill="1" applyBorder="1" applyAlignment="1" applyProtection="1">
      <alignment horizontal="center"/>
      <protection hidden="1"/>
    </xf>
    <xf numFmtId="164" fontId="6" fillId="2" borderId="10" xfId="0" applyNumberFormat="1" applyFont="1" applyFill="1" applyBorder="1" applyAlignment="1" applyProtection="1">
      <alignment horizontal="center"/>
      <protection hidden="1"/>
    </xf>
    <xf numFmtId="0" fontId="1" fillId="2" borderId="0" xfId="0" applyFont="1" applyFill="1" applyAlignment="1" applyProtection="1">
      <alignment vertical="center" wrapText="1"/>
      <protection hidden="1"/>
    </xf>
    <xf numFmtId="0" fontId="1" fillId="2" borderId="0" xfId="0" applyFont="1" applyFill="1" applyProtection="1">
      <protection hidden="1"/>
    </xf>
    <xf numFmtId="0" fontId="22" fillId="2" borderId="0" xfId="0" applyFont="1" applyFill="1"/>
    <xf numFmtId="165" fontId="6" fillId="2" borderId="16" xfId="0" applyNumberFormat="1" applyFont="1" applyFill="1" applyBorder="1"/>
    <xf numFmtId="1" fontId="6" fillId="6" borderId="16" xfId="0" applyNumberFormat="1" applyFont="1" applyFill="1" applyBorder="1"/>
    <xf numFmtId="1" fontId="6" fillId="7" borderId="16" xfId="0" applyNumberFormat="1" applyFont="1" applyFill="1" applyBorder="1"/>
    <xf numFmtId="1" fontId="6" fillId="8" borderId="21" xfId="0" applyNumberFormat="1" applyFont="1" applyFill="1" applyBorder="1"/>
    <xf numFmtId="1" fontId="0" fillId="8" borderId="0" xfId="0" applyNumberFormat="1" applyFill="1"/>
    <xf numFmtId="1" fontId="6" fillId="4" borderId="16" xfId="0" applyNumberFormat="1" applyFont="1" applyFill="1" applyBorder="1"/>
    <xf numFmtId="0" fontId="6" fillId="4" borderId="16" xfId="0" applyFont="1" applyFill="1" applyBorder="1"/>
    <xf numFmtId="0" fontId="23" fillId="3" borderId="4" xfId="0" applyFont="1" applyFill="1" applyBorder="1" applyProtection="1">
      <protection hidden="1"/>
    </xf>
    <xf numFmtId="1" fontId="6" fillId="7" borderId="18" xfId="0" applyNumberFormat="1" applyFont="1" applyFill="1" applyBorder="1"/>
    <xf numFmtId="1" fontId="0" fillId="8" borderId="16" xfId="0" applyNumberFormat="1" applyFill="1" applyBorder="1"/>
    <xf numFmtId="166" fontId="0" fillId="2" borderId="0" xfId="0" applyNumberFormat="1" applyFill="1"/>
    <xf numFmtId="0" fontId="24" fillId="0" borderId="50" xfId="0" applyFont="1" applyBorder="1"/>
    <xf numFmtId="0" fontId="24" fillId="0" borderId="51" xfId="0" applyFont="1" applyBorder="1"/>
    <xf numFmtId="0" fontId="24" fillId="0" borderId="52" xfId="0" applyFont="1" applyBorder="1"/>
    <xf numFmtId="164" fontId="6" fillId="2" borderId="13" xfId="0" applyNumberFormat="1" applyFont="1" applyFill="1" applyBorder="1" applyAlignment="1" applyProtection="1">
      <alignment horizontal="center" vertical="center"/>
      <protection hidden="1"/>
    </xf>
    <xf numFmtId="1" fontId="6" fillId="8" borderId="16" xfId="0" applyNumberFormat="1" applyFont="1" applyFill="1" applyBorder="1"/>
    <xf numFmtId="164" fontId="6" fillId="2" borderId="16" xfId="0" applyNumberFormat="1" applyFont="1" applyFill="1" applyBorder="1"/>
    <xf numFmtId="2" fontId="6" fillId="2" borderId="0" xfId="0" applyNumberFormat="1" applyFont="1" applyFill="1"/>
    <xf numFmtId="164" fontId="6" fillId="2" borderId="8" xfId="0" applyNumberFormat="1" applyFont="1" applyFill="1" applyBorder="1" applyAlignment="1" applyProtection="1">
      <alignment horizontal="center" vertical="center"/>
      <protection hidden="1"/>
    </xf>
    <xf numFmtId="164" fontId="6" fillId="2" borderId="10" xfId="0" applyNumberFormat="1" applyFont="1" applyFill="1" applyBorder="1" applyAlignment="1" applyProtection="1">
      <alignment horizontal="center" vertical="center"/>
      <protection hidden="1"/>
    </xf>
    <xf numFmtId="0" fontId="1" fillId="2" borderId="0" xfId="0" applyFont="1" applyFill="1" applyAlignment="1" applyProtection="1">
      <alignment horizontal="center" vertical="center" wrapText="1"/>
      <protection hidden="1"/>
    </xf>
    <xf numFmtId="0" fontId="1" fillId="2" borderId="0" xfId="0" applyFont="1" applyFill="1" applyAlignment="1" applyProtection="1">
      <alignment horizontal="left" vertical="top" wrapText="1"/>
      <protection hidden="1"/>
    </xf>
    <xf numFmtId="0" fontId="4" fillId="2" borderId="0" xfId="0" applyFont="1" applyFill="1" applyAlignment="1" applyProtection="1">
      <alignment horizontal="center"/>
      <protection hidden="1"/>
    </xf>
    <xf numFmtId="0" fontId="5" fillId="3" borderId="5" xfId="0" applyFont="1" applyFill="1" applyBorder="1" applyAlignment="1" applyProtection="1">
      <alignment horizontal="center" vertical="center"/>
      <protection hidden="1"/>
    </xf>
    <xf numFmtId="0" fontId="5" fillId="3" borderId="6" xfId="0" applyFont="1" applyFill="1" applyBorder="1" applyAlignment="1" applyProtection="1">
      <alignment horizontal="center" vertical="center"/>
      <protection hidden="1"/>
    </xf>
    <xf numFmtId="0" fontId="5" fillId="3" borderId="0" xfId="0" applyFont="1" applyFill="1" applyAlignment="1" applyProtection="1">
      <alignment horizontal="center" vertical="center"/>
      <protection hidden="1"/>
    </xf>
    <xf numFmtId="0" fontId="5" fillId="3" borderId="35" xfId="0" applyFont="1" applyFill="1" applyBorder="1" applyAlignment="1" applyProtection="1">
      <alignment horizontal="center" vertical="center"/>
      <protection hidden="1"/>
    </xf>
    <xf numFmtId="0" fontId="20" fillId="2" borderId="0" xfId="0" applyFont="1" applyFill="1" applyAlignment="1" applyProtection="1">
      <alignment horizontal="center" vertical="top" wrapText="1"/>
      <protection hidden="1"/>
    </xf>
    <xf numFmtId="0" fontId="10" fillId="5" borderId="23" xfId="0" applyFont="1" applyFill="1" applyBorder="1" applyAlignment="1" applyProtection="1">
      <alignment horizontal="center"/>
      <protection hidden="1"/>
    </xf>
    <xf numFmtId="0" fontId="10" fillId="5" borderId="30" xfId="0" applyFont="1" applyFill="1" applyBorder="1" applyAlignment="1" applyProtection="1">
      <alignment horizontal="center"/>
      <protection hidden="1"/>
    </xf>
    <xf numFmtId="0" fontId="10" fillId="5" borderId="31" xfId="0" applyFont="1" applyFill="1" applyBorder="1" applyAlignment="1" applyProtection="1">
      <alignment horizontal="center"/>
      <protection hidden="1"/>
    </xf>
    <xf numFmtId="0" fontId="6" fillId="4" borderId="36" xfId="0" applyFont="1" applyFill="1" applyBorder="1" applyAlignment="1" applyProtection="1">
      <alignment horizontal="center"/>
      <protection locked="0"/>
    </xf>
    <xf numFmtId="0" fontId="6" fillId="4" borderId="7" xfId="0" applyFont="1" applyFill="1" applyBorder="1" applyAlignment="1" applyProtection="1">
      <alignment horizontal="center"/>
      <protection locked="0"/>
    </xf>
    <xf numFmtId="0" fontId="21" fillId="4" borderId="40" xfId="0" applyFont="1" applyFill="1" applyBorder="1" applyAlignment="1" applyProtection="1">
      <alignment horizontal="center" vertical="center"/>
      <protection locked="0"/>
    </xf>
    <xf numFmtId="0" fontId="21" fillId="4" borderId="41" xfId="0" applyFont="1" applyFill="1" applyBorder="1" applyAlignment="1" applyProtection="1">
      <alignment horizontal="center" vertical="center"/>
      <protection locked="0"/>
    </xf>
    <xf numFmtId="0" fontId="21" fillId="4" borderId="32" xfId="0" applyFont="1" applyFill="1" applyBorder="1" applyAlignment="1" applyProtection="1">
      <alignment horizontal="center" vertical="center"/>
      <protection locked="0"/>
    </xf>
    <xf numFmtId="0" fontId="21" fillId="4" borderId="33" xfId="0" applyFont="1" applyFill="1" applyBorder="1" applyAlignment="1" applyProtection="1">
      <alignment horizontal="center" vertical="center"/>
      <protection locked="0"/>
    </xf>
    <xf numFmtId="0" fontId="21" fillId="4" borderId="28" xfId="0" applyFont="1" applyFill="1" applyBorder="1" applyAlignment="1" applyProtection="1">
      <alignment horizontal="center" vertical="center"/>
      <protection locked="0"/>
    </xf>
    <xf numFmtId="0" fontId="21" fillId="4" borderId="29" xfId="0" applyFont="1" applyFill="1" applyBorder="1" applyAlignment="1" applyProtection="1">
      <alignment horizontal="center" vertical="center"/>
      <protection locked="0"/>
    </xf>
    <xf numFmtId="0" fontId="17" fillId="5" borderId="26" xfId="0" applyFont="1" applyFill="1" applyBorder="1" applyAlignment="1" applyProtection="1">
      <alignment horizontal="center"/>
      <protection hidden="1"/>
    </xf>
    <xf numFmtId="0" fontId="17" fillId="5" borderId="27" xfId="0" applyFont="1" applyFill="1" applyBorder="1" applyAlignment="1" applyProtection="1">
      <alignment horizontal="center"/>
      <protection hidden="1"/>
    </xf>
    <xf numFmtId="0" fontId="11" fillId="3" borderId="37" xfId="0" applyFont="1" applyFill="1" applyBorder="1" applyAlignment="1" applyProtection="1">
      <alignment horizontal="center" vertical="center"/>
      <protection hidden="1"/>
    </xf>
    <xf numFmtId="0" fontId="11" fillId="3" borderId="38" xfId="0" applyFont="1" applyFill="1" applyBorder="1" applyAlignment="1" applyProtection="1">
      <alignment horizontal="center" vertical="center"/>
      <protection hidden="1"/>
    </xf>
    <xf numFmtId="0" fontId="11" fillId="3" borderId="39" xfId="0" applyFont="1" applyFill="1" applyBorder="1" applyAlignment="1" applyProtection="1">
      <alignment horizontal="center" vertical="center"/>
      <protection hidden="1"/>
    </xf>
    <xf numFmtId="49" fontId="6" fillId="4" borderId="36" xfId="0" applyNumberFormat="1" applyFont="1" applyFill="1" applyBorder="1" applyAlignment="1" applyProtection="1">
      <alignment horizontal="center"/>
      <protection locked="0"/>
    </xf>
    <xf numFmtId="49" fontId="6" fillId="4" borderId="7" xfId="0" applyNumberFormat="1" applyFont="1" applyFill="1" applyBorder="1" applyAlignment="1" applyProtection="1">
      <alignment horizontal="center"/>
      <protection locked="0"/>
    </xf>
    <xf numFmtId="0" fontId="1" fillId="2" borderId="0" xfId="0" applyFont="1" applyFill="1" applyAlignment="1" applyProtection="1">
      <alignment horizontal="center" vertical="top" wrapText="1"/>
      <protection hidden="1"/>
    </xf>
    <xf numFmtId="0" fontId="1" fillId="2" borderId="0" xfId="0" applyFont="1" applyFill="1" applyAlignment="1" applyProtection="1">
      <alignment horizontal="center"/>
      <protection hidden="1"/>
    </xf>
    <xf numFmtId="0" fontId="0" fillId="2" borderId="23" xfId="0" applyFill="1" applyBorder="1" applyAlignment="1">
      <alignment horizontal="center"/>
    </xf>
    <xf numFmtId="0" fontId="0" fillId="2" borderId="7" xfId="0" applyFill="1" applyBorder="1" applyAlignment="1">
      <alignment horizontal="center"/>
    </xf>
    <xf numFmtId="0" fontId="6" fillId="4" borderId="40" xfId="0" applyFont="1" applyFill="1" applyBorder="1" applyAlignment="1" applyProtection="1">
      <alignment horizontal="center"/>
      <protection hidden="1"/>
    </xf>
    <xf numFmtId="0" fontId="6" fillId="4" borderId="41" xfId="0" applyFont="1" applyFill="1" applyBorder="1" applyAlignment="1" applyProtection="1">
      <alignment horizontal="center"/>
      <protection hidden="1"/>
    </xf>
    <xf numFmtId="0" fontId="6" fillId="4" borderId="32" xfId="0" applyFont="1" applyFill="1" applyBorder="1" applyAlignment="1" applyProtection="1">
      <alignment horizontal="center"/>
      <protection hidden="1"/>
    </xf>
    <xf numFmtId="0" fontId="6" fillId="4" borderId="33" xfId="0" applyFont="1" applyFill="1" applyBorder="1" applyAlignment="1" applyProtection="1">
      <alignment horizontal="center"/>
      <protection hidden="1"/>
    </xf>
    <xf numFmtId="0" fontId="6" fillId="4" borderId="28" xfId="0" applyFont="1" applyFill="1" applyBorder="1" applyAlignment="1" applyProtection="1">
      <alignment horizontal="center"/>
      <protection hidden="1"/>
    </xf>
    <xf numFmtId="0" fontId="6" fillId="4" borderId="29" xfId="0" applyFont="1" applyFill="1" applyBorder="1" applyAlignment="1" applyProtection="1">
      <alignment horizontal="center"/>
      <protection hidden="1"/>
    </xf>
    <xf numFmtId="49" fontId="6" fillId="4" borderId="36" xfId="0" applyNumberFormat="1" applyFont="1" applyFill="1" applyBorder="1" applyAlignment="1">
      <alignment horizontal="center"/>
    </xf>
    <xf numFmtId="49" fontId="6" fillId="4" borderId="7" xfId="0" applyNumberFormat="1" applyFont="1" applyFill="1" applyBorder="1" applyAlignment="1">
      <alignment horizontal="center"/>
    </xf>
    <xf numFmtId="0" fontId="6" fillId="4" borderId="36" xfId="0" applyFont="1" applyFill="1" applyBorder="1" applyAlignment="1">
      <alignment horizontal="center"/>
    </xf>
    <xf numFmtId="0" fontId="6" fillId="4" borderId="7" xfId="0" applyFont="1" applyFill="1" applyBorder="1" applyAlignment="1">
      <alignment horizontal="center"/>
    </xf>
    <xf numFmtId="0" fontId="1" fillId="2" borderId="12" xfId="0" applyFont="1" applyFill="1" applyBorder="1" applyAlignment="1" applyProtection="1">
      <alignment horizontal="left" vertical="top" wrapText="1"/>
      <protection hidden="1"/>
    </xf>
    <xf numFmtId="0" fontId="5" fillId="3" borderId="19" xfId="0" applyFont="1" applyFill="1" applyBorder="1" applyAlignment="1">
      <alignment horizontal="center" vertical="center" wrapText="1"/>
    </xf>
    <xf numFmtId="0" fontId="5" fillId="3" borderId="20" xfId="0" applyFont="1" applyFill="1" applyBorder="1" applyAlignment="1">
      <alignment horizontal="center" vertical="center" wrapText="1"/>
    </xf>
    <xf numFmtId="0" fontId="5" fillId="3" borderId="48" xfId="0" applyFont="1" applyFill="1" applyBorder="1" applyAlignment="1">
      <alignment horizontal="center" vertical="center" wrapText="1"/>
    </xf>
    <xf numFmtId="0" fontId="5" fillId="3" borderId="15" xfId="0" applyFont="1" applyFill="1" applyBorder="1" applyAlignment="1">
      <alignment horizontal="center" vertical="center" wrapText="1"/>
    </xf>
    <xf numFmtId="0" fontId="5" fillId="3" borderId="49" xfId="0" applyFont="1" applyFill="1" applyBorder="1" applyAlignment="1">
      <alignment horizontal="center" vertical="center" wrapText="1"/>
    </xf>
    <xf numFmtId="0" fontId="5" fillId="3" borderId="45" xfId="0" applyFont="1" applyFill="1" applyBorder="1" applyAlignment="1">
      <alignment horizontal="center" vertical="center" wrapText="1"/>
    </xf>
    <xf numFmtId="0" fontId="5" fillId="3" borderId="46" xfId="0" applyFont="1" applyFill="1" applyBorder="1" applyAlignment="1">
      <alignment horizontal="center" vertical="center" wrapText="1"/>
    </xf>
    <xf numFmtId="0" fontId="5" fillId="3" borderId="24" xfId="0" applyFont="1" applyFill="1" applyBorder="1" applyAlignment="1">
      <alignment horizontal="center" vertical="center" wrapText="1"/>
    </xf>
    <xf numFmtId="0" fontId="5" fillId="3" borderId="47" xfId="0" applyFont="1" applyFill="1" applyBorder="1" applyAlignment="1">
      <alignment horizontal="center" vertical="center" wrapText="1"/>
    </xf>
    <xf numFmtId="0" fontId="0" fillId="2" borderId="0" xfId="0" applyFill="1" applyAlignment="1">
      <alignment horizontal="center"/>
    </xf>
    <xf numFmtId="0" fontId="5" fillId="5" borderId="26" xfId="0" applyFont="1" applyFill="1" applyBorder="1" applyAlignment="1" applyProtection="1">
      <alignment horizontal="center"/>
      <protection hidden="1"/>
    </xf>
    <xf numFmtId="0" fontId="5" fillId="5" borderId="27" xfId="0" applyFont="1" applyFill="1" applyBorder="1" applyAlignment="1" applyProtection="1">
      <alignment horizontal="center"/>
      <protection hidden="1"/>
    </xf>
  </cellXfs>
  <cellStyles count="23">
    <cellStyle name="Gevolgde hyperlink" xfId="2" builtinId="9" hidden="1"/>
    <cellStyle name="Gevolgde hyperlink" xfId="4" builtinId="9" hidden="1"/>
    <cellStyle name="Gevolgde hyperlink" xfId="6" builtinId="9" hidden="1"/>
    <cellStyle name="Gevolgde hyperlink" xfId="8" builtinId="9" hidden="1"/>
    <cellStyle name="Gevolgde hyperlink" xfId="10" builtinId="9" hidden="1"/>
    <cellStyle name="Gevolgde hyperlink" xfId="12" builtinId="9" hidden="1"/>
    <cellStyle name="Gevolgde hyperlink" xfId="14" builtinId="9" hidden="1"/>
    <cellStyle name="Gevolgde hyperlink" xfId="16" builtinId="9" hidden="1"/>
    <cellStyle name="Gevolgde hyperlink" xfId="18" builtinId="9" hidden="1"/>
    <cellStyle name="Gevolgde hyperlink" xfId="20" builtinId="9" hidden="1"/>
    <cellStyle name="Gevolgde hyperlink" xfId="22"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microsoft.com/office/2006/relationships/vbaProject" Target="vbaProject.bin"/><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activeX1.xml><?xml version="1.0" encoding="utf-8"?>
<ax:ocx xmlns:ax="http://schemas.microsoft.com/office/2006/activeX" xmlns:r="http://schemas.openxmlformats.org/officeDocument/2006/relationships" ax:classid="{D7053240-CE69-11CD-A777-00DD01143C57}" ax:persistence="persistStreamInit" r:id="rId1"/>
</file>

<file path=xl/activeX/activeX2.xml><?xml version="1.0" encoding="utf-8"?>
<ax:ocx xmlns:ax="http://schemas.microsoft.com/office/2006/activeX" xmlns:r="http://schemas.openxmlformats.org/officeDocument/2006/relationships" ax:classid="{8BD21D50-EC42-11CE-9E0D-00AA006002F3}" ax:persistence="persistStreamInit" r:id="rId1"/>
</file>

<file path=xl/activeX/activeX3.xml><?xml version="1.0" encoding="utf-8"?>
<ax:ocx xmlns:ax="http://schemas.microsoft.com/office/2006/activeX" xmlns:r="http://schemas.openxmlformats.org/officeDocument/2006/relationships" ax:classid="{8BD21D50-EC42-11CE-9E0D-00AA006002F3}" ax:persistence="persistStreamInit" r:id="rId1"/>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nl-BE"/>
              <a:t>Type 20 Inbouw</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nl-BE"/>
        </a:p>
      </c:txPr>
    </c:title>
    <c:autoTitleDeleted val="0"/>
    <c:plotArea>
      <c:layout/>
      <c:scatterChart>
        <c:scatterStyle val="smoothMarker"/>
        <c:varyColors val="0"/>
        <c:ser>
          <c:idx val="0"/>
          <c:order val="0"/>
          <c:tx>
            <c:strRef>
              <c:f>cal!$N$21</c:f>
              <c:strCache>
                <c:ptCount val="1"/>
                <c:pt idx="0">
                  <c:v> K Comfort Stufe  [W]</c:v>
                </c:pt>
              </c:strCache>
            </c:strRef>
          </c:tx>
          <c:spPr>
            <a:ln w="19050" cap="rnd">
              <a:solidFill>
                <a:schemeClr val="accent1"/>
              </a:solidFill>
              <a:round/>
            </a:ln>
            <a:effectLst/>
          </c:spPr>
          <c:marker>
            <c:symbol val="circle"/>
            <c:size val="5"/>
            <c:spPr>
              <a:solidFill>
                <a:schemeClr val="accent1"/>
              </a:solidFill>
              <a:ln w="9525">
                <a:solidFill>
                  <a:schemeClr val="accent1"/>
                </a:solidFill>
              </a:ln>
              <a:effectLst/>
            </c:spPr>
          </c:marker>
          <c:trendline>
            <c:spPr>
              <a:ln w="19050" cap="rnd">
                <a:solidFill>
                  <a:schemeClr val="accent1"/>
                </a:solidFill>
                <a:prstDash val="sysDot"/>
              </a:ln>
              <a:effectLst/>
            </c:spPr>
            <c:trendlineType val="linear"/>
            <c:dispRSqr val="0"/>
            <c:dispEq val="1"/>
            <c:trendlineLbl>
              <c:layout>
                <c:manualLayout>
                  <c:x val="0.1952825019129662"/>
                  <c:y val="5.3037836562564514E-2"/>
                </c:manualLayout>
              </c:layout>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BE"/>
                </a:p>
              </c:txPr>
            </c:trendlineLbl>
          </c:trendline>
          <c:xVal>
            <c:numRef>
              <c:f>cal!$M$22:$M$33</c:f>
              <c:numCache>
                <c:formatCode>General</c:formatCode>
                <c:ptCount val="12"/>
                <c:pt idx="0">
                  <c:v>70</c:v>
                </c:pt>
                <c:pt idx="1">
                  <c:v>90</c:v>
                </c:pt>
                <c:pt idx="2">
                  <c:v>100</c:v>
                </c:pt>
                <c:pt idx="3">
                  <c:v>120</c:v>
                </c:pt>
                <c:pt idx="4">
                  <c:v>150</c:v>
                </c:pt>
                <c:pt idx="5">
                  <c:v>170</c:v>
                </c:pt>
                <c:pt idx="6">
                  <c:v>190</c:v>
                </c:pt>
                <c:pt idx="7">
                  <c:v>210</c:v>
                </c:pt>
                <c:pt idx="8">
                  <c:v>230</c:v>
                </c:pt>
                <c:pt idx="9">
                  <c:v>250</c:v>
                </c:pt>
                <c:pt idx="10">
                  <c:v>270</c:v>
                </c:pt>
                <c:pt idx="11">
                  <c:v>290</c:v>
                </c:pt>
              </c:numCache>
            </c:numRef>
          </c:xVal>
          <c:yVal>
            <c:numRef>
              <c:f>cal!$N$22:$N$33</c:f>
              <c:numCache>
                <c:formatCode>0</c:formatCode>
                <c:ptCount val="12"/>
                <c:pt idx="0">
                  <c:v>188.4</c:v>
                </c:pt>
                <c:pt idx="1">
                  <c:v>282.60000000000002</c:v>
                </c:pt>
                <c:pt idx="2">
                  <c:v>329.7</c:v>
                </c:pt>
                <c:pt idx="3">
                  <c:v>423.90000000000003</c:v>
                </c:pt>
                <c:pt idx="4">
                  <c:v>565.20000000000005</c:v>
                </c:pt>
                <c:pt idx="5">
                  <c:v>659.4</c:v>
                </c:pt>
                <c:pt idx="6">
                  <c:v>753.6</c:v>
                </c:pt>
                <c:pt idx="7">
                  <c:v>847.8</c:v>
                </c:pt>
                <c:pt idx="8">
                  <c:v>942</c:v>
                </c:pt>
                <c:pt idx="9">
                  <c:v>1036.2</c:v>
                </c:pt>
                <c:pt idx="10">
                  <c:v>1130.4000000000001</c:v>
                </c:pt>
                <c:pt idx="11">
                  <c:v>1224.5999999999999</c:v>
                </c:pt>
              </c:numCache>
            </c:numRef>
          </c:yVal>
          <c:smooth val="1"/>
          <c:extLst>
            <c:ext xmlns:c16="http://schemas.microsoft.com/office/drawing/2014/chart" uri="{C3380CC4-5D6E-409C-BE32-E72D297353CC}">
              <c16:uniqueId val="{00000000-A5CA-492C-B613-666409D217C2}"/>
            </c:ext>
          </c:extLst>
        </c:ser>
        <c:ser>
          <c:idx val="1"/>
          <c:order val="1"/>
          <c:tx>
            <c:strRef>
              <c:f>cal!$O$21</c:f>
              <c:strCache>
                <c:ptCount val="1"/>
                <c:pt idx="0">
                  <c:v>K Boost Stufe  [W]</c:v>
                </c:pt>
              </c:strCache>
            </c:strRef>
          </c:tx>
          <c:spPr>
            <a:ln w="19050" cap="rnd">
              <a:solidFill>
                <a:schemeClr val="accent2"/>
              </a:solidFill>
              <a:round/>
            </a:ln>
            <a:effectLst/>
          </c:spPr>
          <c:marker>
            <c:symbol val="circle"/>
            <c:size val="5"/>
            <c:spPr>
              <a:solidFill>
                <a:schemeClr val="accent2"/>
              </a:solidFill>
              <a:ln w="9525">
                <a:solidFill>
                  <a:schemeClr val="accent2"/>
                </a:solidFill>
              </a:ln>
              <a:effectLst/>
            </c:spPr>
          </c:marker>
          <c:trendline>
            <c:spPr>
              <a:ln w="19050" cap="rnd">
                <a:solidFill>
                  <a:schemeClr val="accent2"/>
                </a:solidFill>
                <a:prstDash val="sysDot"/>
              </a:ln>
              <a:effectLst/>
            </c:spPr>
            <c:trendlineType val="linear"/>
            <c:dispRSqr val="0"/>
            <c:dispEq val="1"/>
            <c:trendlineLbl>
              <c:layout>
                <c:manualLayout>
                  <c:x val="0.1952825019129662"/>
                  <c:y val="-1.0687133209472411E-2"/>
                </c:manualLayout>
              </c:layout>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BE"/>
                </a:p>
              </c:txPr>
            </c:trendlineLbl>
          </c:trendline>
          <c:xVal>
            <c:numRef>
              <c:f>cal!$M$22:$M$33</c:f>
              <c:numCache>
                <c:formatCode>General</c:formatCode>
                <c:ptCount val="12"/>
                <c:pt idx="0">
                  <c:v>70</c:v>
                </c:pt>
                <c:pt idx="1">
                  <c:v>90</c:v>
                </c:pt>
                <c:pt idx="2">
                  <c:v>100</c:v>
                </c:pt>
                <c:pt idx="3">
                  <c:v>120</c:v>
                </c:pt>
                <c:pt idx="4">
                  <c:v>150</c:v>
                </c:pt>
                <c:pt idx="5">
                  <c:v>170</c:v>
                </c:pt>
                <c:pt idx="6">
                  <c:v>190</c:v>
                </c:pt>
                <c:pt idx="7">
                  <c:v>210</c:v>
                </c:pt>
                <c:pt idx="8">
                  <c:v>230</c:v>
                </c:pt>
                <c:pt idx="9">
                  <c:v>250</c:v>
                </c:pt>
                <c:pt idx="10">
                  <c:v>270</c:v>
                </c:pt>
                <c:pt idx="11">
                  <c:v>290</c:v>
                </c:pt>
              </c:numCache>
            </c:numRef>
          </c:xVal>
          <c:yVal>
            <c:numRef>
              <c:f>cal!$O$22:$O$33</c:f>
              <c:numCache>
                <c:formatCode>0</c:formatCode>
                <c:ptCount val="12"/>
                <c:pt idx="0">
                  <c:v>235.60000000000002</c:v>
                </c:pt>
                <c:pt idx="1">
                  <c:v>353.40000000000003</c:v>
                </c:pt>
                <c:pt idx="2">
                  <c:v>412.30000000000007</c:v>
                </c:pt>
                <c:pt idx="3">
                  <c:v>530.1</c:v>
                </c:pt>
                <c:pt idx="4">
                  <c:v>706.80000000000007</c:v>
                </c:pt>
                <c:pt idx="5">
                  <c:v>824.60000000000014</c:v>
                </c:pt>
                <c:pt idx="6">
                  <c:v>942.40000000000009</c:v>
                </c:pt>
                <c:pt idx="7">
                  <c:v>1060.2</c:v>
                </c:pt>
                <c:pt idx="8">
                  <c:v>1178</c:v>
                </c:pt>
                <c:pt idx="9">
                  <c:v>1295.8000000000002</c:v>
                </c:pt>
                <c:pt idx="10">
                  <c:v>1413.6000000000001</c:v>
                </c:pt>
                <c:pt idx="11">
                  <c:v>1531.4</c:v>
                </c:pt>
              </c:numCache>
            </c:numRef>
          </c:yVal>
          <c:smooth val="1"/>
          <c:extLst>
            <c:ext xmlns:c16="http://schemas.microsoft.com/office/drawing/2014/chart" uri="{C3380CC4-5D6E-409C-BE32-E72D297353CC}">
              <c16:uniqueId val="{00000001-A5CA-492C-B613-666409D217C2}"/>
            </c:ext>
          </c:extLst>
        </c:ser>
        <c:ser>
          <c:idx val="2"/>
          <c:order val="2"/>
          <c:tx>
            <c:strRef>
              <c:f>cal!$P$21</c:f>
              <c:strCache>
                <c:ptCount val="1"/>
                <c:pt idx="0">
                  <c:v>H Comfort Stufe  [W]</c:v>
                </c:pt>
              </c:strCache>
            </c:strRef>
          </c:tx>
          <c:spPr>
            <a:ln w="19050" cap="rnd">
              <a:solidFill>
                <a:schemeClr val="accent3"/>
              </a:solidFill>
              <a:round/>
            </a:ln>
            <a:effectLst/>
          </c:spPr>
          <c:marker>
            <c:symbol val="circle"/>
            <c:size val="5"/>
            <c:spPr>
              <a:solidFill>
                <a:schemeClr val="accent3"/>
              </a:solidFill>
              <a:ln w="9525">
                <a:solidFill>
                  <a:schemeClr val="accent3"/>
                </a:solidFill>
              </a:ln>
              <a:effectLst/>
            </c:spPr>
          </c:marker>
          <c:trendline>
            <c:spPr>
              <a:ln w="19050" cap="rnd">
                <a:solidFill>
                  <a:schemeClr val="accent3"/>
                </a:solidFill>
                <a:prstDash val="sysDot"/>
              </a:ln>
              <a:effectLst/>
            </c:spPr>
            <c:trendlineType val="linear"/>
            <c:dispRSqr val="0"/>
            <c:dispEq val="1"/>
            <c:trendlineLbl>
              <c:layout>
                <c:manualLayout>
                  <c:x val="0.1952825019129662"/>
                  <c:y val="-5.5640095549854022E-3"/>
                </c:manualLayout>
              </c:layout>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BE"/>
                </a:p>
              </c:txPr>
            </c:trendlineLbl>
          </c:trendline>
          <c:xVal>
            <c:numRef>
              <c:f>cal!$M$22:$M$33</c:f>
              <c:numCache>
                <c:formatCode>General</c:formatCode>
                <c:ptCount val="12"/>
                <c:pt idx="0">
                  <c:v>70</c:v>
                </c:pt>
                <c:pt idx="1">
                  <c:v>90</c:v>
                </c:pt>
                <c:pt idx="2">
                  <c:v>100</c:v>
                </c:pt>
                <c:pt idx="3">
                  <c:v>120</c:v>
                </c:pt>
                <c:pt idx="4">
                  <c:v>150</c:v>
                </c:pt>
                <c:pt idx="5">
                  <c:v>170</c:v>
                </c:pt>
                <c:pt idx="6">
                  <c:v>190</c:v>
                </c:pt>
                <c:pt idx="7">
                  <c:v>210</c:v>
                </c:pt>
                <c:pt idx="8">
                  <c:v>230</c:v>
                </c:pt>
                <c:pt idx="9">
                  <c:v>250</c:v>
                </c:pt>
                <c:pt idx="10">
                  <c:v>270</c:v>
                </c:pt>
                <c:pt idx="11">
                  <c:v>290</c:v>
                </c:pt>
              </c:numCache>
            </c:numRef>
          </c:xVal>
          <c:yVal>
            <c:numRef>
              <c:f>cal!$P$22:$P$33</c:f>
              <c:numCache>
                <c:formatCode>0</c:formatCode>
                <c:ptCount val="12"/>
                <c:pt idx="0">
                  <c:v>874.4</c:v>
                </c:pt>
                <c:pt idx="1">
                  <c:v>1311.6</c:v>
                </c:pt>
                <c:pt idx="2">
                  <c:v>1530.2</c:v>
                </c:pt>
                <c:pt idx="3">
                  <c:v>1967.4</c:v>
                </c:pt>
                <c:pt idx="4">
                  <c:v>2623.2</c:v>
                </c:pt>
                <c:pt idx="5">
                  <c:v>3060.4</c:v>
                </c:pt>
                <c:pt idx="6">
                  <c:v>3497.6</c:v>
                </c:pt>
                <c:pt idx="7">
                  <c:v>3934.7999999999997</c:v>
                </c:pt>
                <c:pt idx="8">
                  <c:v>4372</c:v>
                </c:pt>
                <c:pt idx="9">
                  <c:v>4809.2</c:v>
                </c:pt>
                <c:pt idx="10">
                  <c:v>5246.4</c:v>
                </c:pt>
                <c:pt idx="11">
                  <c:v>5683.5999999999995</c:v>
                </c:pt>
              </c:numCache>
            </c:numRef>
          </c:yVal>
          <c:smooth val="1"/>
          <c:extLst>
            <c:ext xmlns:c16="http://schemas.microsoft.com/office/drawing/2014/chart" uri="{C3380CC4-5D6E-409C-BE32-E72D297353CC}">
              <c16:uniqueId val="{00000002-A5CA-492C-B613-666409D217C2}"/>
            </c:ext>
          </c:extLst>
        </c:ser>
        <c:ser>
          <c:idx val="3"/>
          <c:order val="3"/>
          <c:tx>
            <c:strRef>
              <c:f>cal!$Q$21</c:f>
              <c:strCache>
                <c:ptCount val="1"/>
                <c:pt idx="0">
                  <c:v> H Boost Stufe  [W]</c:v>
                </c:pt>
              </c:strCache>
            </c:strRef>
          </c:tx>
          <c:spPr>
            <a:ln w="19050" cap="rnd">
              <a:solidFill>
                <a:schemeClr val="accent4"/>
              </a:solidFill>
              <a:round/>
            </a:ln>
            <a:effectLst/>
          </c:spPr>
          <c:marker>
            <c:symbol val="circle"/>
            <c:size val="5"/>
            <c:spPr>
              <a:solidFill>
                <a:schemeClr val="accent4"/>
              </a:solidFill>
              <a:ln w="9525">
                <a:solidFill>
                  <a:schemeClr val="accent4"/>
                </a:solidFill>
              </a:ln>
              <a:effectLst/>
            </c:spPr>
          </c:marker>
          <c:trendline>
            <c:spPr>
              <a:ln w="19050" cap="rnd">
                <a:solidFill>
                  <a:schemeClr val="accent4"/>
                </a:solidFill>
                <a:prstDash val="sysDot"/>
              </a:ln>
              <a:effectLst/>
            </c:spPr>
            <c:trendlineType val="linear"/>
            <c:dispRSqr val="0"/>
            <c:dispEq val="1"/>
            <c:trendlineLbl>
              <c:layout>
                <c:manualLayout>
                  <c:x val="0.1952825019129662"/>
                  <c:y val="-3.1906278569111449E-2"/>
                </c:manualLayout>
              </c:layout>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BE"/>
                </a:p>
              </c:txPr>
            </c:trendlineLbl>
          </c:trendline>
          <c:xVal>
            <c:numRef>
              <c:f>cal!$M$22:$M$33</c:f>
              <c:numCache>
                <c:formatCode>General</c:formatCode>
                <c:ptCount val="12"/>
                <c:pt idx="0">
                  <c:v>70</c:v>
                </c:pt>
                <c:pt idx="1">
                  <c:v>90</c:v>
                </c:pt>
                <c:pt idx="2">
                  <c:v>100</c:v>
                </c:pt>
                <c:pt idx="3">
                  <c:v>120</c:v>
                </c:pt>
                <c:pt idx="4">
                  <c:v>150</c:v>
                </c:pt>
                <c:pt idx="5">
                  <c:v>170</c:v>
                </c:pt>
                <c:pt idx="6">
                  <c:v>190</c:v>
                </c:pt>
                <c:pt idx="7">
                  <c:v>210</c:v>
                </c:pt>
                <c:pt idx="8">
                  <c:v>230</c:v>
                </c:pt>
                <c:pt idx="9">
                  <c:v>250</c:v>
                </c:pt>
                <c:pt idx="10">
                  <c:v>270</c:v>
                </c:pt>
                <c:pt idx="11">
                  <c:v>290</c:v>
                </c:pt>
              </c:numCache>
            </c:numRef>
          </c:xVal>
          <c:yVal>
            <c:numRef>
              <c:f>cal!$Q$22:$Q$33</c:f>
              <c:numCache>
                <c:formatCode>0</c:formatCode>
                <c:ptCount val="12"/>
                <c:pt idx="0">
                  <c:v>1267.5999999999999</c:v>
                </c:pt>
                <c:pt idx="1">
                  <c:v>1901.3999999999999</c:v>
                </c:pt>
                <c:pt idx="2">
                  <c:v>2218.2999999999997</c:v>
                </c:pt>
                <c:pt idx="3">
                  <c:v>2852.1</c:v>
                </c:pt>
                <c:pt idx="4">
                  <c:v>3802.7999999999997</c:v>
                </c:pt>
                <c:pt idx="5">
                  <c:v>4436.5999999999995</c:v>
                </c:pt>
                <c:pt idx="6">
                  <c:v>5070.3999999999996</c:v>
                </c:pt>
                <c:pt idx="7">
                  <c:v>5704.2</c:v>
                </c:pt>
                <c:pt idx="8">
                  <c:v>6338</c:v>
                </c:pt>
                <c:pt idx="9">
                  <c:v>6971.7999999999993</c:v>
                </c:pt>
                <c:pt idx="10">
                  <c:v>7605.5999999999995</c:v>
                </c:pt>
                <c:pt idx="11">
                  <c:v>8239.4</c:v>
                </c:pt>
              </c:numCache>
            </c:numRef>
          </c:yVal>
          <c:smooth val="1"/>
          <c:extLst>
            <c:ext xmlns:c16="http://schemas.microsoft.com/office/drawing/2014/chart" uri="{C3380CC4-5D6E-409C-BE32-E72D297353CC}">
              <c16:uniqueId val="{00000003-A5CA-492C-B613-666409D217C2}"/>
            </c:ext>
          </c:extLst>
        </c:ser>
        <c:dLbls>
          <c:showLegendKey val="0"/>
          <c:showVal val="0"/>
          <c:showCatName val="0"/>
          <c:showSerName val="0"/>
          <c:showPercent val="0"/>
          <c:showBubbleSize val="0"/>
        </c:dLbls>
        <c:axId val="690862088"/>
        <c:axId val="690866352"/>
      </c:scatterChart>
      <c:valAx>
        <c:axId val="690862088"/>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nl-BE"/>
                  <a:t>Length [cm]</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nl-BE"/>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BE"/>
          </a:p>
        </c:txPr>
        <c:crossAx val="690866352"/>
        <c:crosses val="autoZero"/>
        <c:crossBetween val="midCat"/>
      </c:valAx>
      <c:valAx>
        <c:axId val="69086635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nl-BE"/>
                  <a:t>Power [W]</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nl-BE"/>
            </a:p>
          </c:txPr>
        </c:title>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BE"/>
          </a:p>
        </c:txPr>
        <c:crossAx val="690862088"/>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B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nl-BE"/>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nl-BE"/>
              <a:t>Type 21 Inbouw</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nl-BE"/>
        </a:p>
      </c:txPr>
    </c:title>
    <c:autoTitleDeleted val="0"/>
    <c:plotArea>
      <c:layout/>
      <c:scatterChart>
        <c:scatterStyle val="smoothMarker"/>
        <c:varyColors val="0"/>
        <c:ser>
          <c:idx val="0"/>
          <c:order val="0"/>
          <c:tx>
            <c:strRef>
              <c:f>cal!$X$21</c:f>
              <c:strCache>
                <c:ptCount val="1"/>
                <c:pt idx="0">
                  <c:v>Comfort Stufe  [W]</c:v>
                </c:pt>
              </c:strCache>
            </c:strRef>
          </c:tx>
          <c:spPr>
            <a:ln w="19050" cap="rnd">
              <a:solidFill>
                <a:schemeClr val="accent1"/>
              </a:solidFill>
              <a:round/>
            </a:ln>
            <a:effectLst/>
          </c:spPr>
          <c:marker>
            <c:symbol val="circle"/>
            <c:size val="5"/>
            <c:spPr>
              <a:solidFill>
                <a:schemeClr val="accent1"/>
              </a:solidFill>
              <a:ln w="9525">
                <a:solidFill>
                  <a:schemeClr val="accent1"/>
                </a:solidFill>
              </a:ln>
              <a:effectLst/>
            </c:spPr>
          </c:marker>
          <c:trendline>
            <c:spPr>
              <a:ln w="19050" cap="rnd">
                <a:solidFill>
                  <a:schemeClr val="accent1"/>
                </a:solidFill>
                <a:prstDash val="sysDot"/>
              </a:ln>
              <a:effectLst/>
            </c:spPr>
            <c:trendlineType val="linear"/>
            <c:dispRSqr val="0"/>
            <c:dispEq val="1"/>
            <c:trendlineLbl>
              <c:layout>
                <c:manualLayout>
                  <c:x val="0.1952825019129662"/>
                  <c:y val="5.3037836562564514E-2"/>
                </c:manualLayout>
              </c:layout>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BE"/>
                </a:p>
              </c:txPr>
            </c:trendlineLbl>
          </c:trendline>
          <c:xVal>
            <c:numRef>
              <c:f>cal!$M$22:$M$33</c:f>
              <c:numCache>
                <c:formatCode>General</c:formatCode>
                <c:ptCount val="12"/>
                <c:pt idx="0">
                  <c:v>70</c:v>
                </c:pt>
                <c:pt idx="1">
                  <c:v>90</c:v>
                </c:pt>
                <c:pt idx="2">
                  <c:v>100</c:v>
                </c:pt>
                <c:pt idx="3">
                  <c:v>120</c:v>
                </c:pt>
                <c:pt idx="4">
                  <c:v>150</c:v>
                </c:pt>
                <c:pt idx="5">
                  <c:v>170</c:v>
                </c:pt>
                <c:pt idx="6">
                  <c:v>190</c:v>
                </c:pt>
                <c:pt idx="7">
                  <c:v>210</c:v>
                </c:pt>
                <c:pt idx="8">
                  <c:v>230</c:v>
                </c:pt>
                <c:pt idx="9">
                  <c:v>250</c:v>
                </c:pt>
                <c:pt idx="10">
                  <c:v>270</c:v>
                </c:pt>
                <c:pt idx="11">
                  <c:v>290</c:v>
                </c:pt>
              </c:numCache>
            </c:numRef>
          </c:xVal>
          <c:yVal>
            <c:numRef>
              <c:f>cal!$X$22:$X$33</c:f>
              <c:numCache>
                <c:formatCode>0</c:formatCode>
                <c:ptCount val="12"/>
                <c:pt idx="0">
                  <c:v>285.20000000000005</c:v>
                </c:pt>
                <c:pt idx="1">
                  <c:v>427.80000000000007</c:v>
                </c:pt>
                <c:pt idx="2">
                  <c:v>499.10000000000008</c:v>
                </c:pt>
                <c:pt idx="3">
                  <c:v>641.70000000000005</c:v>
                </c:pt>
                <c:pt idx="4">
                  <c:v>855.60000000000014</c:v>
                </c:pt>
                <c:pt idx="5">
                  <c:v>998.20000000000016</c:v>
                </c:pt>
                <c:pt idx="6">
                  <c:v>1140.8000000000002</c:v>
                </c:pt>
                <c:pt idx="7">
                  <c:v>1283.4000000000001</c:v>
                </c:pt>
                <c:pt idx="8">
                  <c:v>1426.0000000000002</c:v>
                </c:pt>
                <c:pt idx="9">
                  <c:v>1568.6000000000001</c:v>
                </c:pt>
                <c:pt idx="10">
                  <c:v>1711.2000000000003</c:v>
                </c:pt>
                <c:pt idx="11">
                  <c:v>1853.8000000000002</c:v>
                </c:pt>
              </c:numCache>
            </c:numRef>
          </c:yVal>
          <c:smooth val="1"/>
          <c:extLst>
            <c:ext xmlns:c16="http://schemas.microsoft.com/office/drawing/2014/chart" uri="{C3380CC4-5D6E-409C-BE32-E72D297353CC}">
              <c16:uniqueId val="{00000000-438B-45D1-9C6D-FAB7761CB250}"/>
            </c:ext>
          </c:extLst>
        </c:ser>
        <c:ser>
          <c:idx val="1"/>
          <c:order val="1"/>
          <c:tx>
            <c:strRef>
              <c:f>cal!$Y$21</c:f>
              <c:strCache>
                <c:ptCount val="1"/>
                <c:pt idx="0">
                  <c:v>Boost Stufe  [W]</c:v>
                </c:pt>
              </c:strCache>
            </c:strRef>
          </c:tx>
          <c:spPr>
            <a:ln w="19050" cap="rnd">
              <a:solidFill>
                <a:schemeClr val="accent2"/>
              </a:solidFill>
              <a:round/>
            </a:ln>
            <a:effectLst/>
          </c:spPr>
          <c:marker>
            <c:symbol val="circle"/>
            <c:size val="5"/>
            <c:spPr>
              <a:solidFill>
                <a:schemeClr val="accent2"/>
              </a:solidFill>
              <a:ln w="9525">
                <a:solidFill>
                  <a:schemeClr val="accent2"/>
                </a:solidFill>
              </a:ln>
              <a:effectLst/>
            </c:spPr>
          </c:marker>
          <c:trendline>
            <c:spPr>
              <a:ln w="19050" cap="rnd">
                <a:solidFill>
                  <a:schemeClr val="accent2"/>
                </a:solidFill>
                <a:prstDash val="sysDot"/>
              </a:ln>
              <a:effectLst/>
            </c:spPr>
            <c:trendlineType val="linear"/>
            <c:dispRSqr val="0"/>
            <c:dispEq val="1"/>
            <c:trendlineLbl>
              <c:layout>
                <c:manualLayout>
                  <c:x val="0.1952825019129662"/>
                  <c:y val="-1.0687133209472411E-2"/>
                </c:manualLayout>
              </c:layout>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BE"/>
                </a:p>
              </c:txPr>
            </c:trendlineLbl>
          </c:trendline>
          <c:xVal>
            <c:numRef>
              <c:f>cal!$M$22:$M$33</c:f>
              <c:numCache>
                <c:formatCode>General</c:formatCode>
                <c:ptCount val="12"/>
                <c:pt idx="0">
                  <c:v>70</c:v>
                </c:pt>
                <c:pt idx="1">
                  <c:v>90</c:v>
                </c:pt>
                <c:pt idx="2">
                  <c:v>100</c:v>
                </c:pt>
                <c:pt idx="3">
                  <c:v>120</c:v>
                </c:pt>
                <c:pt idx="4">
                  <c:v>150</c:v>
                </c:pt>
                <c:pt idx="5">
                  <c:v>170</c:v>
                </c:pt>
                <c:pt idx="6">
                  <c:v>190</c:v>
                </c:pt>
                <c:pt idx="7">
                  <c:v>210</c:v>
                </c:pt>
                <c:pt idx="8">
                  <c:v>230</c:v>
                </c:pt>
                <c:pt idx="9">
                  <c:v>250</c:v>
                </c:pt>
                <c:pt idx="10">
                  <c:v>270</c:v>
                </c:pt>
                <c:pt idx="11">
                  <c:v>290</c:v>
                </c:pt>
              </c:numCache>
            </c:numRef>
          </c:xVal>
          <c:yVal>
            <c:numRef>
              <c:f>cal!$Y$22:$Y$33</c:f>
              <c:numCache>
                <c:formatCode>0</c:formatCode>
                <c:ptCount val="12"/>
                <c:pt idx="0">
                  <c:v>348.4</c:v>
                </c:pt>
                <c:pt idx="1">
                  <c:v>522.59999999999991</c:v>
                </c:pt>
                <c:pt idx="2">
                  <c:v>609.69999999999993</c:v>
                </c:pt>
                <c:pt idx="3">
                  <c:v>783.9</c:v>
                </c:pt>
                <c:pt idx="4">
                  <c:v>1045.1999999999998</c:v>
                </c:pt>
                <c:pt idx="5">
                  <c:v>1219.3999999999999</c:v>
                </c:pt>
                <c:pt idx="6">
                  <c:v>1393.6</c:v>
                </c:pt>
                <c:pt idx="7">
                  <c:v>1567.7999999999997</c:v>
                </c:pt>
                <c:pt idx="8">
                  <c:v>1741.9999999999998</c:v>
                </c:pt>
                <c:pt idx="9">
                  <c:v>1916.1999999999998</c:v>
                </c:pt>
                <c:pt idx="10">
                  <c:v>2090.3999999999996</c:v>
                </c:pt>
                <c:pt idx="11">
                  <c:v>2264.6</c:v>
                </c:pt>
              </c:numCache>
            </c:numRef>
          </c:yVal>
          <c:smooth val="1"/>
          <c:extLst>
            <c:ext xmlns:c16="http://schemas.microsoft.com/office/drawing/2014/chart" uri="{C3380CC4-5D6E-409C-BE32-E72D297353CC}">
              <c16:uniqueId val="{00000001-438B-45D1-9C6D-FAB7761CB250}"/>
            </c:ext>
          </c:extLst>
        </c:ser>
        <c:ser>
          <c:idx val="2"/>
          <c:order val="2"/>
          <c:tx>
            <c:strRef>
              <c:f>cal!$Z$21</c:f>
              <c:strCache>
                <c:ptCount val="1"/>
                <c:pt idx="0">
                  <c:v>Comfort Stufe  [W]</c:v>
                </c:pt>
              </c:strCache>
            </c:strRef>
          </c:tx>
          <c:spPr>
            <a:ln w="19050" cap="rnd">
              <a:solidFill>
                <a:schemeClr val="accent3"/>
              </a:solidFill>
              <a:round/>
            </a:ln>
            <a:effectLst/>
          </c:spPr>
          <c:marker>
            <c:symbol val="circle"/>
            <c:size val="5"/>
            <c:spPr>
              <a:solidFill>
                <a:schemeClr val="accent3"/>
              </a:solidFill>
              <a:ln w="9525">
                <a:solidFill>
                  <a:schemeClr val="accent3"/>
                </a:solidFill>
              </a:ln>
              <a:effectLst/>
            </c:spPr>
          </c:marker>
          <c:trendline>
            <c:spPr>
              <a:ln w="19050" cap="rnd">
                <a:solidFill>
                  <a:schemeClr val="accent3"/>
                </a:solidFill>
                <a:prstDash val="sysDot"/>
              </a:ln>
              <a:effectLst/>
            </c:spPr>
            <c:trendlineType val="linear"/>
            <c:dispRSqr val="0"/>
            <c:dispEq val="1"/>
            <c:trendlineLbl>
              <c:layout>
                <c:manualLayout>
                  <c:x val="0.1952825019129662"/>
                  <c:y val="-5.5640095549854022E-3"/>
                </c:manualLayout>
              </c:layout>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BE"/>
                </a:p>
              </c:txPr>
            </c:trendlineLbl>
          </c:trendline>
          <c:xVal>
            <c:numRef>
              <c:f>cal!$M$22:$M$33</c:f>
              <c:numCache>
                <c:formatCode>General</c:formatCode>
                <c:ptCount val="12"/>
                <c:pt idx="0">
                  <c:v>70</c:v>
                </c:pt>
                <c:pt idx="1">
                  <c:v>90</c:v>
                </c:pt>
                <c:pt idx="2">
                  <c:v>100</c:v>
                </c:pt>
                <c:pt idx="3">
                  <c:v>120</c:v>
                </c:pt>
                <c:pt idx="4">
                  <c:v>150</c:v>
                </c:pt>
                <c:pt idx="5">
                  <c:v>170</c:v>
                </c:pt>
                <c:pt idx="6">
                  <c:v>190</c:v>
                </c:pt>
                <c:pt idx="7">
                  <c:v>210</c:v>
                </c:pt>
                <c:pt idx="8">
                  <c:v>230</c:v>
                </c:pt>
                <c:pt idx="9">
                  <c:v>250</c:v>
                </c:pt>
                <c:pt idx="10">
                  <c:v>270</c:v>
                </c:pt>
                <c:pt idx="11">
                  <c:v>290</c:v>
                </c:pt>
              </c:numCache>
            </c:numRef>
          </c:xVal>
          <c:yVal>
            <c:numRef>
              <c:f>cal!$Z$22:$Z$33</c:f>
              <c:numCache>
                <c:formatCode>0</c:formatCode>
                <c:ptCount val="12"/>
                <c:pt idx="0">
                  <c:v>944.80000000000007</c:v>
                </c:pt>
                <c:pt idx="1">
                  <c:v>1417.2</c:v>
                </c:pt>
                <c:pt idx="2">
                  <c:v>1653.4</c:v>
                </c:pt>
                <c:pt idx="3">
                  <c:v>2125.8000000000002</c:v>
                </c:pt>
                <c:pt idx="4">
                  <c:v>2834.4</c:v>
                </c:pt>
                <c:pt idx="5">
                  <c:v>3306.8</c:v>
                </c:pt>
                <c:pt idx="6">
                  <c:v>3779.2000000000003</c:v>
                </c:pt>
                <c:pt idx="7">
                  <c:v>4251.6000000000004</c:v>
                </c:pt>
                <c:pt idx="8">
                  <c:v>4724</c:v>
                </c:pt>
                <c:pt idx="9">
                  <c:v>5196.4000000000005</c:v>
                </c:pt>
                <c:pt idx="10">
                  <c:v>5668.8</c:v>
                </c:pt>
                <c:pt idx="11">
                  <c:v>6141.2</c:v>
                </c:pt>
              </c:numCache>
            </c:numRef>
          </c:yVal>
          <c:smooth val="1"/>
          <c:extLst>
            <c:ext xmlns:c16="http://schemas.microsoft.com/office/drawing/2014/chart" uri="{C3380CC4-5D6E-409C-BE32-E72D297353CC}">
              <c16:uniqueId val="{00000002-438B-45D1-9C6D-FAB7761CB250}"/>
            </c:ext>
          </c:extLst>
        </c:ser>
        <c:ser>
          <c:idx val="3"/>
          <c:order val="3"/>
          <c:tx>
            <c:strRef>
              <c:f>cal!$AA$21</c:f>
              <c:strCache>
                <c:ptCount val="1"/>
                <c:pt idx="0">
                  <c:v>Boost Stufe  [W]</c:v>
                </c:pt>
              </c:strCache>
            </c:strRef>
          </c:tx>
          <c:spPr>
            <a:ln w="19050" cap="rnd">
              <a:solidFill>
                <a:schemeClr val="accent4"/>
              </a:solidFill>
              <a:round/>
            </a:ln>
            <a:effectLst/>
          </c:spPr>
          <c:marker>
            <c:symbol val="circle"/>
            <c:size val="5"/>
            <c:spPr>
              <a:solidFill>
                <a:schemeClr val="accent4"/>
              </a:solidFill>
              <a:ln w="9525">
                <a:solidFill>
                  <a:schemeClr val="accent4"/>
                </a:solidFill>
              </a:ln>
              <a:effectLst/>
            </c:spPr>
          </c:marker>
          <c:trendline>
            <c:spPr>
              <a:ln w="19050" cap="rnd">
                <a:solidFill>
                  <a:schemeClr val="accent4"/>
                </a:solidFill>
                <a:prstDash val="sysDot"/>
              </a:ln>
              <a:effectLst/>
            </c:spPr>
            <c:trendlineType val="linear"/>
            <c:dispRSqr val="0"/>
            <c:dispEq val="1"/>
            <c:trendlineLbl>
              <c:layout>
                <c:manualLayout>
                  <c:x val="0.1952825019129662"/>
                  <c:y val="-3.1906278569111449E-2"/>
                </c:manualLayout>
              </c:layout>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BE"/>
                </a:p>
              </c:txPr>
            </c:trendlineLbl>
          </c:trendline>
          <c:xVal>
            <c:numRef>
              <c:f>cal!$M$22:$M$33</c:f>
              <c:numCache>
                <c:formatCode>General</c:formatCode>
                <c:ptCount val="12"/>
                <c:pt idx="0">
                  <c:v>70</c:v>
                </c:pt>
                <c:pt idx="1">
                  <c:v>90</c:v>
                </c:pt>
                <c:pt idx="2">
                  <c:v>100</c:v>
                </c:pt>
                <c:pt idx="3">
                  <c:v>120</c:v>
                </c:pt>
                <c:pt idx="4">
                  <c:v>150</c:v>
                </c:pt>
                <c:pt idx="5">
                  <c:v>170</c:v>
                </c:pt>
                <c:pt idx="6">
                  <c:v>190</c:v>
                </c:pt>
                <c:pt idx="7">
                  <c:v>210</c:v>
                </c:pt>
                <c:pt idx="8">
                  <c:v>230</c:v>
                </c:pt>
                <c:pt idx="9">
                  <c:v>250</c:v>
                </c:pt>
                <c:pt idx="10">
                  <c:v>270</c:v>
                </c:pt>
                <c:pt idx="11">
                  <c:v>290</c:v>
                </c:pt>
              </c:numCache>
            </c:numRef>
          </c:xVal>
          <c:yVal>
            <c:numRef>
              <c:f>cal!$AA$22:$AA$33</c:f>
              <c:numCache>
                <c:formatCode>0</c:formatCode>
                <c:ptCount val="12"/>
                <c:pt idx="0">
                  <c:v>1492.4</c:v>
                </c:pt>
                <c:pt idx="1">
                  <c:v>2238.6000000000004</c:v>
                </c:pt>
                <c:pt idx="2">
                  <c:v>2611.7000000000003</c:v>
                </c:pt>
                <c:pt idx="3">
                  <c:v>3357.9</c:v>
                </c:pt>
                <c:pt idx="4">
                  <c:v>4477.2000000000007</c:v>
                </c:pt>
                <c:pt idx="5">
                  <c:v>5223.4000000000005</c:v>
                </c:pt>
                <c:pt idx="6">
                  <c:v>5969.6</c:v>
                </c:pt>
                <c:pt idx="7">
                  <c:v>6715.8</c:v>
                </c:pt>
                <c:pt idx="8">
                  <c:v>7462</c:v>
                </c:pt>
                <c:pt idx="9">
                  <c:v>8208.2000000000007</c:v>
                </c:pt>
                <c:pt idx="10">
                  <c:v>8954.4000000000015</c:v>
                </c:pt>
                <c:pt idx="11">
                  <c:v>9700.6</c:v>
                </c:pt>
              </c:numCache>
            </c:numRef>
          </c:yVal>
          <c:smooth val="1"/>
          <c:extLst>
            <c:ext xmlns:c16="http://schemas.microsoft.com/office/drawing/2014/chart" uri="{C3380CC4-5D6E-409C-BE32-E72D297353CC}">
              <c16:uniqueId val="{00000003-438B-45D1-9C6D-FAB7761CB250}"/>
            </c:ext>
          </c:extLst>
        </c:ser>
        <c:dLbls>
          <c:showLegendKey val="0"/>
          <c:showVal val="0"/>
          <c:showCatName val="0"/>
          <c:showSerName val="0"/>
          <c:showPercent val="0"/>
          <c:showBubbleSize val="0"/>
        </c:dLbls>
        <c:axId val="690862088"/>
        <c:axId val="690866352"/>
      </c:scatterChart>
      <c:valAx>
        <c:axId val="690862088"/>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nl-BE"/>
                  <a:t>Length [cm]</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nl-BE"/>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BE"/>
          </a:p>
        </c:txPr>
        <c:crossAx val="690866352"/>
        <c:crosses val="autoZero"/>
        <c:crossBetween val="midCat"/>
      </c:valAx>
      <c:valAx>
        <c:axId val="69086635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nl-BE"/>
                  <a:t>Power [W]</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nl-BE"/>
            </a:p>
          </c:txPr>
        </c:title>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BE"/>
          </a:p>
        </c:txPr>
        <c:crossAx val="690862088"/>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B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nl-BE"/>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nl-BE"/>
              <a:t>Type 20 met bekleding</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nl-BE"/>
        </a:p>
      </c:txPr>
    </c:title>
    <c:autoTitleDeleted val="0"/>
    <c:plotArea>
      <c:layout/>
      <c:scatterChart>
        <c:scatterStyle val="smoothMarker"/>
        <c:varyColors val="0"/>
        <c:ser>
          <c:idx val="0"/>
          <c:order val="0"/>
          <c:tx>
            <c:strRef>
              <c:f>cal!$AH$21</c:f>
              <c:strCache>
                <c:ptCount val="1"/>
                <c:pt idx="0">
                  <c:v>Comfort Stufe  [W]</c:v>
                </c:pt>
              </c:strCache>
            </c:strRef>
          </c:tx>
          <c:spPr>
            <a:ln w="19050" cap="rnd">
              <a:solidFill>
                <a:schemeClr val="accent1"/>
              </a:solidFill>
              <a:round/>
            </a:ln>
            <a:effectLst/>
          </c:spPr>
          <c:marker>
            <c:symbol val="circle"/>
            <c:size val="5"/>
            <c:spPr>
              <a:solidFill>
                <a:schemeClr val="accent1"/>
              </a:solidFill>
              <a:ln w="9525">
                <a:solidFill>
                  <a:schemeClr val="accent1"/>
                </a:solidFill>
              </a:ln>
              <a:effectLst/>
            </c:spPr>
          </c:marker>
          <c:trendline>
            <c:spPr>
              <a:ln w="19050" cap="rnd">
                <a:solidFill>
                  <a:schemeClr val="accent1"/>
                </a:solidFill>
                <a:prstDash val="sysDot"/>
              </a:ln>
              <a:effectLst/>
            </c:spPr>
            <c:trendlineType val="linear"/>
            <c:dispRSqr val="0"/>
            <c:dispEq val="1"/>
            <c:trendlineLbl>
              <c:layout>
                <c:manualLayout>
                  <c:x val="0.1952825019129662"/>
                  <c:y val="5.3037836562564514E-2"/>
                </c:manualLayout>
              </c:layout>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BE"/>
                </a:p>
              </c:txPr>
            </c:trendlineLbl>
          </c:trendline>
          <c:xVal>
            <c:numRef>
              <c:f>cal!$M$22:$M$33</c:f>
              <c:numCache>
                <c:formatCode>General</c:formatCode>
                <c:ptCount val="12"/>
                <c:pt idx="0">
                  <c:v>70</c:v>
                </c:pt>
                <c:pt idx="1">
                  <c:v>90</c:v>
                </c:pt>
                <c:pt idx="2">
                  <c:v>100</c:v>
                </c:pt>
                <c:pt idx="3">
                  <c:v>120</c:v>
                </c:pt>
                <c:pt idx="4">
                  <c:v>150</c:v>
                </c:pt>
                <c:pt idx="5">
                  <c:v>170</c:v>
                </c:pt>
                <c:pt idx="6">
                  <c:v>190</c:v>
                </c:pt>
                <c:pt idx="7">
                  <c:v>210</c:v>
                </c:pt>
                <c:pt idx="8">
                  <c:v>230</c:v>
                </c:pt>
                <c:pt idx="9">
                  <c:v>250</c:v>
                </c:pt>
                <c:pt idx="10">
                  <c:v>270</c:v>
                </c:pt>
                <c:pt idx="11">
                  <c:v>290</c:v>
                </c:pt>
              </c:numCache>
            </c:numRef>
          </c:xVal>
          <c:yVal>
            <c:numRef>
              <c:f>cal!$AH$22:$AH$33</c:f>
              <c:numCache>
                <c:formatCode>0</c:formatCode>
                <c:ptCount val="12"/>
                <c:pt idx="0">
                  <c:v>169.57695769576958</c:v>
                </c:pt>
                <c:pt idx="1">
                  <c:v>254.3654365436544</c:v>
                </c:pt>
                <c:pt idx="2">
                  <c:v>296.75967596759676</c:v>
                </c:pt>
                <c:pt idx="3">
                  <c:v>381.54815481548161</c:v>
                </c:pt>
                <c:pt idx="4">
                  <c:v>508.73087308730879</c:v>
                </c:pt>
                <c:pt idx="5">
                  <c:v>593.51935193519353</c:v>
                </c:pt>
                <c:pt idx="6">
                  <c:v>678.30783078307832</c:v>
                </c:pt>
                <c:pt idx="7">
                  <c:v>763.09630963096311</c:v>
                </c:pt>
                <c:pt idx="8">
                  <c:v>847.8847884788479</c:v>
                </c:pt>
                <c:pt idx="9">
                  <c:v>932.67326732673268</c:v>
                </c:pt>
                <c:pt idx="10">
                  <c:v>1017.4617461746176</c:v>
                </c:pt>
                <c:pt idx="11">
                  <c:v>1102.2502250225023</c:v>
                </c:pt>
              </c:numCache>
            </c:numRef>
          </c:yVal>
          <c:smooth val="1"/>
          <c:extLst>
            <c:ext xmlns:c16="http://schemas.microsoft.com/office/drawing/2014/chart" uri="{C3380CC4-5D6E-409C-BE32-E72D297353CC}">
              <c16:uniqueId val="{00000000-D32C-4181-9A46-3B14D2FC0C10}"/>
            </c:ext>
          </c:extLst>
        </c:ser>
        <c:ser>
          <c:idx val="1"/>
          <c:order val="1"/>
          <c:tx>
            <c:strRef>
              <c:f>cal!$AI$21</c:f>
              <c:strCache>
                <c:ptCount val="1"/>
                <c:pt idx="0">
                  <c:v>Boost Stufe  [W]</c:v>
                </c:pt>
              </c:strCache>
            </c:strRef>
          </c:tx>
          <c:spPr>
            <a:ln w="19050" cap="rnd">
              <a:solidFill>
                <a:schemeClr val="accent2"/>
              </a:solidFill>
              <a:round/>
            </a:ln>
            <a:effectLst/>
          </c:spPr>
          <c:marker>
            <c:symbol val="circle"/>
            <c:size val="5"/>
            <c:spPr>
              <a:solidFill>
                <a:schemeClr val="accent2"/>
              </a:solidFill>
              <a:ln w="9525">
                <a:solidFill>
                  <a:schemeClr val="accent2"/>
                </a:solidFill>
              </a:ln>
              <a:effectLst/>
            </c:spPr>
          </c:marker>
          <c:trendline>
            <c:spPr>
              <a:ln w="19050" cap="rnd">
                <a:solidFill>
                  <a:schemeClr val="accent2"/>
                </a:solidFill>
                <a:prstDash val="sysDot"/>
              </a:ln>
              <a:effectLst/>
            </c:spPr>
            <c:trendlineType val="linear"/>
            <c:dispRSqr val="0"/>
            <c:dispEq val="1"/>
            <c:trendlineLbl>
              <c:layout>
                <c:manualLayout>
                  <c:x val="0.1952825019129662"/>
                  <c:y val="-1.0687133209472411E-2"/>
                </c:manualLayout>
              </c:layout>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BE"/>
                </a:p>
              </c:txPr>
            </c:trendlineLbl>
          </c:trendline>
          <c:xVal>
            <c:numRef>
              <c:f>cal!$M$22:$M$33</c:f>
              <c:numCache>
                <c:formatCode>General</c:formatCode>
                <c:ptCount val="12"/>
                <c:pt idx="0">
                  <c:v>70</c:v>
                </c:pt>
                <c:pt idx="1">
                  <c:v>90</c:v>
                </c:pt>
                <c:pt idx="2">
                  <c:v>100</c:v>
                </c:pt>
                <c:pt idx="3">
                  <c:v>120</c:v>
                </c:pt>
                <c:pt idx="4">
                  <c:v>150</c:v>
                </c:pt>
                <c:pt idx="5">
                  <c:v>170</c:v>
                </c:pt>
                <c:pt idx="6">
                  <c:v>190</c:v>
                </c:pt>
                <c:pt idx="7">
                  <c:v>210</c:v>
                </c:pt>
                <c:pt idx="8">
                  <c:v>230</c:v>
                </c:pt>
                <c:pt idx="9">
                  <c:v>250</c:v>
                </c:pt>
                <c:pt idx="10">
                  <c:v>270</c:v>
                </c:pt>
                <c:pt idx="11">
                  <c:v>290</c:v>
                </c:pt>
              </c:numCache>
            </c:numRef>
          </c:xVal>
          <c:yVal>
            <c:numRef>
              <c:f>cal!$AI$22:$AI$33</c:f>
              <c:numCache>
                <c:formatCode>0</c:formatCode>
                <c:ptCount val="12"/>
                <c:pt idx="0">
                  <c:v>212.06120612061207</c:v>
                </c:pt>
                <c:pt idx="1">
                  <c:v>318.09180918091812</c:v>
                </c:pt>
                <c:pt idx="2">
                  <c:v>371.10711071107119</c:v>
                </c:pt>
                <c:pt idx="3">
                  <c:v>477.13771377137715</c:v>
                </c:pt>
                <c:pt idx="4">
                  <c:v>636.18361836183624</c:v>
                </c:pt>
                <c:pt idx="5">
                  <c:v>742.21422142214237</c:v>
                </c:pt>
                <c:pt idx="6">
                  <c:v>848.24482448244828</c:v>
                </c:pt>
                <c:pt idx="7">
                  <c:v>954.2754275427543</c:v>
                </c:pt>
                <c:pt idx="8">
                  <c:v>1060.3060306030602</c:v>
                </c:pt>
                <c:pt idx="9">
                  <c:v>1166.3366336633665</c:v>
                </c:pt>
                <c:pt idx="10">
                  <c:v>1272.3672367236725</c:v>
                </c:pt>
                <c:pt idx="11">
                  <c:v>1378.3978397839785</c:v>
                </c:pt>
              </c:numCache>
            </c:numRef>
          </c:yVal>
          <c:smooth val="1"/>
          <c:extLst>
            <c:ext xmlns:c16="http://schemas.microsoft.com/office/drawing/2014/chart" uri="{C3380CC4-5D6E-409C-BE32-E72D297353CC}">
              <c16:uniqueId val="{00000001-D32C-4181-9A46-3B14D2FC0C10}"/>
            </c:ext>
          </c:extLst>
        </c:ser>
        <c:ser>
          <c:idx val="2"/>
          <c:order val="2"/>
          <c:tx>
            <c:strRef>
              <c:f>cal!$AJ$21</c:f>
              <c:strCache>
                <c:ptCount val="1"/>
                <c:pt idx="0">
                  <c:v>Comfort Stufe  [W]</c:v>
                </c:pt>
              </c:strCache>
            </c:strRef>
          </c:tx>
          <c:spPr>
            <a:ln w="19050" cap="rnd">
              <a:solidFill>
                <a:schemeClr val="accent3"/>
              </a:solidFill>
              <a:round/>
            </a:ln>
            <a:effectLst/>
          </c:spPr>
          <c:marker>
            <c:symbol val="circle"/>
            <c:size val="5"/>
            <c:spPr>
              <a:solidFill>
                <a:schemeClr val="accent3"/>
              </a:solidFill>
              <a:ln w="9525">
                <a:solidFill>
                  <a:schemeClr val="accent3"/>
                </a:solidFill>
              </a:ln>
              <a:effectLst/>
            </c:spPr>
          </c:marker>
          <c:trendline>
            <c:spPr>
              <a:ln w="19050" cap="rnd">
                <a:solidFill>
                  <a:schemeClr val="accent3"/>
                </a:solidFill>
                <a:prstDash val="sysDot"/>
              </a:ln>
              <a:effectLst/>
            </c:spPr>
            <c:trendlineType val="linear"/>
            <c:dispRSqr val="0"/>
            <c:dispEq val="1"/>
            <c:trendlineLbl>
              <c:layout>
                <c:manualLayout>
                  <c:x val="0.1952825019129662"/>
                  <c:y val="-5.5640095549854022E-3"/>
                </c:manualLayout>
              </c:layout>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BE"/>
                </a:p>
              </c:txPr>
            </c:trendlineLbl>
          </c:trendline>
          <c:xVal>
            <c:numRef>
              <c:f>cal!$M$22:$M$33</c:f>
              <c:numCache>
                <c:formatCode>General</c:formatCode>
                <c:ptCount val="12"/>
                <c:pt idx="0">
                  <c:v>70</c:v>
                </c:pt>
                <c:pt idx="1">
                  <c:v>90</c:v>
                </c:pt>
                <c:pt idx="2">
                  <c:v>100</c:v>
                </c:pt>
                <c:pt idx="3">
                  <c:v>120</c:v>
                </c:pt>
                <c:pt idx="4">
                  <c:v>150</c:v>
                </c:pt>
                <c:pt idx="5">
                  <c:v>170</c:v>
                </c:pt>
                <c:pt idx="6">
                  <c:v>190</c:v>
                </c:pt>
                <c:pt idx="7">
                  <c:v>210</c:v>
                </c:pt>
                <c:pt idx="8">
                  <c:v>230</c:v>
                </c:pt>
                <c:pt idx="9">
                  <c:v>250</c:v>
                </c:pt>
                <c:pt idx="10">
                  <c:v>270</c:v>
                </c:pt>
                <c:pt idx="11">
                  <c:v>290</c:v>
                </c:pt>
              </c:numCache>
            </c:numRef>
          </c:xVal>
          <c:yVal>
            <c:numRef>
              <c:f>cal!$AJ$22:$AJ$33</c:f>
              <c:numCache>
                <c:formatCode>0</c:formatCode>
                <c:ptCount val="12"/>
                <c:pt idx="0">
                  <c:v>787.03870387038705</c:v>
                </c:pt>
                <c:pt idx="1">
                  <c:v>1180.5580558055806</c:v>
                </c:pt>
                <c:pt idx="2">
                  <c:v>1377.3177317731775</c:v>
                </c:pt>
                <c:pt idx="3">
                  <c:v>1770.837083708371</c:v>
                </c:pt>
                <c:pt idx="4">
                  <c:v>2361.1161116111612</c:v>
                </c:pt>
                <c:pt idx="5">
                  <c:v>2754.6354635463549</c:v>
                </c:pt>
                <c:pt idx="6">
                  <c:v>3148.1548154815482</c:v>
                </c:pt>
                <c:pt idx="7">
                  <c:v>3541.6741674167415</c:v>
                </c:pt>
                <c:pt idx="8">
                  <c:v>3935.1935193519353</c:v>
                </c:pt>
                <c:pt idx="9">
                  <c:v>4328.712871287129</c:v>
                </c:pt>
                <c:pt idx="10">
                  <c:v>4722.2322232223223</c:v>
                </c:pt>
                <c:pt idx="11">
                  <c:v>5115.7515751575156</c:v>
                </c:pt>
              </c:numCache>
            </c:numRef>
          </c:yVal>
          <c:smooth val="1"/>
          <c:extLst>
            <c:ext xmlns:c16="http://schemas.microsoft.com/office/drawing/2014/chart" uri="{C3380CC4-5D6E-409C-BE32-E72D297353CC}">
              <c16:uniqueId val="{00000002-D32C-4181-9A46-3B14D2FC0C10}"/>
            </c:ext>
          </c:extLst>
        </c:ser>
        <c:ser>
          <c:idx val="3"/>
          <c:order val="3"/>
          <c:tx>
            <c:strRef>
              <c:f>cal!$AK$21</c:f>
              <c:strCache>
                <c:ptCount val="1"/>
                <c:pt idx="0">
                  <c:v>Boost Stufe  [W]</c:v>
                </c:pt>
              </c:strCache>
            </c:strRef>
          </c:tx>
          <c:spPr>
            <a:ln w="19050" cap="rnd">
              <a:solidFill>
                <a:schemeClr val="accent4"/>
              </a:solidFill>
              <a:round/>
            </a:ln>
            <a:effectLst/>
          </c:spPr>
          <c:marker>
            <c:symbol val="circle"/>
            <c:size val="5"/>
            <c:spPr>
              <a:solidFill>
                <a:schemeClr val="accent4"/>
              </a:solidFill>
              <a:ln w="9525">
                <a:solidFill>
                  <a:schemeClr val="accent4"/>
                </a:solidFill>
              </a:ln>
              <a:effectLst/>
            </c:spPr>
          </c:marker>
          <c:trendline>
            <c:spPr>
              <a:ln w="19050" cap="rnd">
                <a:solidFill>
                  <a:schemeClr val="accent4"/>
                </a:solidFill>
                <a:prstDash val="sysDot"/>
              </a:ln>
              <a:effectLst/>
            </c:spPr>
            <c:trendlineType val="linear"/>
            <c:dispRSqr val="0"/>
            <c:dispEq val="1"/>
            <c:trendlineLbl>
              <c:layout>
                <c:manualLayout>
                  <c:x val="0.1952825019129662"/>
                  <c:y val="-3.1906278569111449E-2"/>
                </c:manualLayout>
              </c:layout>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BE"/>
                </a:p>
              </c:txPr>
            </c:trendlineLbl>
          </c:trendline>
          <c:xVal>
            <c:numRef>
              <c:f>cal!$M$22:$M$33</c:f>
              <c:numCache>
                <c:formatCode>General</c:formatCode>
                <c:ptCount val="12"/>
                <c:pt idx="0">
                  <c:v>70</c:v>
                </c:pt>
                <c:pt idx="1">
                  <c:v>90</c:v>
                </c:pt>
                <c:pt idx="2">
                  <c:v>100</c:v>
                </c:pt>
                <c:pt idx="3">
                  <c:v>120</c:v>
                </c:pt>
                <c:pt idx="4">
                  <c:v>150</c:v>
                </c:pt>
                <c:pt idx="5">
                  <c:v>170</c:v>
                </c:pt>
                <c:pt idx="6">
                  <c:v>190</c:v>
                </c:pt>
                <c:pt idx="7">
                  <c:v>210</c:v>
                </c:pt>
                <c:pt idx="8">
                  <c:v>230</c:v>
                </c:pt>
                <c:pt idx="9">
                  <c:v>250</c:v>
                </c:pt>
                <c:pt idx="10">
                  <c:v>270</c:v>
                </c:pt>
                <c:pt idx="11">
                  <c:v>290</c:v>
                </c:pt>
              </c:numCache>
            </c:numRef>
          </c:xVal>
          <c:yVal>
            <c:numRef>
              <c:f>cal!$AK$22:$AK$33</c:f>
              <c:numCache>
                <c:formatCode>0</c:formatCode>
                <c:ptCount val="12"/>
                <c:pt idx="0">
                  <c:v>1140.954095409541</c:v>
                </c:pt>
                <c:pt idx="1">
                  <c:v>1711.4311431143112</c:v>
                </c:pt>
                <c:pt idx="2">
                  <c:v>1996.6696669666965</c:v>
                </c:pt>
                <c:pt idx="3">
                  <c:v>2567.1467146714672</c:v>
                </c:pt>
                <c:pt idx="4">
                  <c:v>3422.8622862286225</c:v>
                </c:pt>
                <c:pt idx="5">
                  <c:v>3993.3393339333929</c:v>
                </c:pt>
                <c:pt idx="6">
                  <c:v>4563.8163816381639</c:v>
                </c:pt>
                <c:pt idx="7">
                  <c:v>5134.2934293429344</c:v>
                </c:pt>
                <c:pt idx="8">
                  <c:v>5704.7704770477048</c:v>
                </c:pt>
                <c:pt idx="9">
                  <c:v>6275.2475247524744</c:v>
                </c:pt>
                <c:pt idx="10">
                  <c:v>6845.7245724572449</c:v>
                </c:pt>
                <c:pt idx="11">
                  <c:v>7416.2016201620163</c:v>
                </c:pt>
              </c:numCache>
            </c:numRef>
          </c:yVal>
          <c:smooth val="1"/>
          <c:extLst>
            <c:ext xmlns:c16="http://schemas.microsoft.com/office/drawing/2014/chart" uri="{C3380CC4-5D6E-409C-BE32-E72D297353CC}">
              <c16:uniqueId val="{00000003-D32C-4181-9A46-3B14D2FC0C10}"/>
            </c:ext>
          </c:extLst>
        </c:ser>
        <c:dLbls>
          <c:showLegendKey val="0"/>
          <c:showVal val="0"/>
          <c:showCatName val="0"/>
          <c:showSerName val="0"/>
          <c:showPercent val="0"/>
          <c:showBubbleSize val="0"/>
        </c:dLbls>
        <c:axId val="690862088"/>
        <c:axId val="690866352"/>
      </c:scatterChart>
      <c:valAx>
        <c:axId val="690862088"/>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nl-BE"/>
                  <a:t>Length [cm]</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nl-BE"/>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BE"/>
          </a:p>
        </c:txPr>
        <c:crossAx val="690866352"/>
        <c:crosses val="autoZero"/>
        <c:crossBetween val="midCat"/>
      </c:valAx>
      <c:valAx>
        <c:axId val="69086635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nl-BE"/>
                  <a:t>Power [W]</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nl-BE"/>
            </a:p>
          </c:txPr>
        </c:title>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BE"/>
          </a:p>
        </c:txPr>
        <c:crossAx val="690862088"/>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B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nl-BE"/>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nl-BE"/>
              <a:t>Type 21 met bekleding</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nl-BE"/>
        </a:p>
      </c:txPr>
    </c:title>
    <c:autoTitleDeleted val="0"/>
    <c:plotArea>
      <c:layout/>
      <c:scatterChart>
        <c:scatterStyle val="smoothMarker"/>
        <c:varyColors val="0"/>
        <c:ser>
          <c:idx val="0"/>
          <c:order val="0"/>
          <c:tx>
            <c:strRef>
              <c:f>cal!$AR$21</c:f>
              <c:strCache>
                <c:ptCount val="1"/>
                <c:pt idx="0">
                  <c:v>Comfort Stufe  [W]</c:v>
                </c:pt>
              </c:strCache>
            </c:strRef>
          </c:tx>
          <c:spPr>
            <a:ln w="19050" cap="rnd">
              <a:solidFill>
                <a:schemeClr val="accent1"/>
              </a:solidFill>
              <a:round/>
            </a:ln>
            <a:effectLst/>
          </c:spPr>
          <c:marker>
            <c:symbol val="circle"/>
            <c:size val="5"/>
            <c:spPr>
              <a:solidFill>
                <a:schemeClr val="accent1"/>
              </a:solidFill>
              <a:ln w="9525">
                <a:solidFill>
                  <a:schemeClr val="accent1"/>
                </a:solidFill>
              </a:ln>
              <a:effectLst/>
            </c:spPr>
          </c:marker>
          <c:trendline>
            <c:spPr>
              <a:ln w="19050" cap="rnd">
                <a:solidFill>
                  <a:schemeClr val="accent1"/>
                </a:solidFill>
                <a:prstDash val="sysDot"/>
              </a:ln>
              <a:effectLst/>
            </c:spPr>
            <c:trendlineType val="linear"/>
            <c:dispRSqr val="0"/>
            <c:dispEq val="1"/>
            <c:trendlineLbl>
              <c:layout>
                <c:manualLayout>
                  <c:x val="0.1952825019129662"/>
                  <c:y val="5.3037836562564514E-2"/>
                </c:manualLayout>
              </c:layout>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BE"/>
                </a:p>
              </c:txPr>
            </c:trendlineLbl>
          </c:trendline>
          <c:xVal>
            <c:numRef>
              <c:f>cal!$M$22:$M$33</c:f>
              <c:numCache>
                <c:formatCode>General</c:formatCode>
                <c:ptCount val="12"/>
                <c:pt idx="0">
                  <c:v>70</c:v>
                </c:pt>
                <c:pt idx="1">
                  <c:v>90</c:v>
                </c:pt>
                <c:pt idx="2">
                  <c:v>100</c:v>
                </c:pt>
                <c:pt idx="3">
                  <c:v>120</c:v>
                </c:pt>
                <c:pt idx="4">
                  <c:v>150</c:v>
                </c:pt>
                <c:pt idx="5">
                  <c:v>170</c:v>
                </c:pt>
                <c:pt idx="6">
                  <c:v>190</c:v>
                </c:pt>
                <c:pt idx="7">
                  <c:v>210</c:v>
                </c:pt>
                <c:pt idx="8">
                  <c:v>230</c:v>
                </c:pt>
                <c:pt idx="9">
                  <c:v>250</c:v>
                </c:pt>
                <c:pt idx="10">
                  <c:v>270</c:v>
                </c:pt>
                <c:pt idx="11">
                  <c:v>290</c:v>
                </c:pt>
              </c:numCache>
            </c:numRef>
          </c:xVal>
          <c:yVal>
            <c:numRef>
              <c:f>cal!$AR$22:$AR$33</c:f>
              <c:numCache>
                <c:formatCode>0</c:formatCode>
                <c:ptCount val="12"/>
                <c:pt idx="0">
                  <c:v>256.70567056705676</c:v>
                </c:pt>
                <c:pt idx="1">
                  <c:v>385.05850585058511</c:v>
                </c:pt>
                <c:pt idx="2">
                  <c:v>449.23492349234931</c:v>
                </c:pt>
                <c:pt idx="3">
                  <c:v>577.58775877587766</c:v>
                </c:pt>
                <c:pt idx="4">
                  <c:v>770.11701170117021</c:v>
                </c:pt>
                <c:pt idx="5">
                  <c:v>898.46984698469862</c:v>
                </c:pt>
                <c:pt idx="6">
                  <c:v>1026.822682268227</c:v>
                </c:pt>
                <c:pt idx="7">
                  <c:v>1155.1755175517553</c:v>
                </c:pt>
                <c:pt idx="8">
                  <c:v>1283.5283528352838</c:v>
                </c:pt>
                <c:pt idx="9">
                  <c:v>1411.8811881188121</c:v>
                </c:pt>
                <c:pt idx="10">
                  <c:v>1540.2340234023404</c:v>
                </c:pt>
                <c:pt idx="11">
                  <c:v>1668.5868586858687</c:v>
                </c:pt>
              </c:numCache>
            </c:numRef>
          </c:yVal>
          <c:smooth val="1"/>
          <c:extLst>
            <c:ext xmlns:c16="http://schemas.microsoft.com/office/drawing/2014/chart" uri="{C3380CC4-5D6E-409C-BE32-E72D297353CC}">
              <c16:uniqueId val="{00000000-77E8-4B91-96CD-CAA5B440245C}"/>
            </c:ext>
          </c:extLst>
        </c:ser>
        <c:ser>
          <c:idx val="1"/>
          <c:order val="1"/>
          <c:tx>
            <c:strRef>
              <c:f>cal!$AS$21</c:f>
              <c:strCache>
                <c:ptCount val="1"/>
                <c:pt idx="0">
                  <c:v>Boost Stufe  [W]</c:v>
                </c:pt>
              </c:strCache>
            </c:strRef>
          </c:tx>
          <c:spPr>
            <a:ln w="19050" cap="rnd">
              <a:solidFill>
                <a:schemeClr val="accent2"/>
              </a:solidFill>
              <a:round/>
            </a:ln>
            <a:effectLst/>
          </c:spPr>
          <c:marker>
            <c:symbol val="circle"/>
            <c:size val="5"/>
            <c:spPr>
              <a:solidFill>
                <a:schemeClr val="accent2"/>
              </a:solidFill>
              <a:ln w="9525">
                <a:solidFill>
                  <a:schemeClr val="accent2"/>
                </a:solidFill>
              </a:ln>
              <a:effectLst/>
            </c:spPr>
          </c:marker>
          <c:trendline>
            <c:spPr>
              <a:ln w="19050" cap="rnd">
                <a:solidFill>
                  <a:schemeClr val="accent2"/>
                </a:solidFill>
                <a:prstDash val="sysDot"/>
              </a:ln>
              <a:effectLst/>
            </c:spPr>
            <c:trendlineType val="linear"/>
            <c:dispRSqr val="0"/>
            <c:dispEq val="1"/>
            <c:trendlineLbl>
              <c:layout>
                <c:manualLayout>
                  <c:x val="0.1952825019129662"/>
                  <c:y val="-1.0687133209472411E-2"/>
                </c:manualLayout>
              </c:layout>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BE"/>
                </a:p>
              </c:txPr>
            </c:trendlineLbl>
          </c:trendline>
          <c:xVal>
            <c:numRef>
              <c:f>cal!$M$22:$M$33</c:f>
              <c:numCache>
                <c:formatCode>General</c:formatCode>
                <c:ptCount val="12"/>
                <c:pt idx="0">
                  <c:v>70</c:v>
                </c:pt>
                <c:pt idx="1">
                  <c:v>90</c:v>
                </c:pt>
                <c:pt idx="2">
                  <c:v>100</c:v>
                </c:pt>
                <c:pt idx="3">
                  <c:v>120</c:v>
                </c:pt>
                <c:pt idx="4">
                  <c:v>150</c:v>
                </c:pt>
                <c:pt idx="5">
                  <c:v>170</c:v>
                </c:pt>
                <c:pt idx="6">
                  <c:v>190</c:v>
                </c:pt>
                <c:pt idx="7">
                  <c:v>210</c:v>
                </c:pt>
                <c:pt idx="8">
                  <c:v>230</c:v>
                </c:pt>
                <c:pt idx="9">
                  <c:v>250</c:v>
                </c:pt>
                <c:pt idx="10">
                  <c:v>270</c:v>
                </c:pt>
                <c:pt idx="11">
                  <c:v>290</c:v>
                </c:pt>
              </c:numCache>
            </c:numRef>
          </c:xVal>
          <c:yVal>
            <c:numRef>
              <c:f>cal!$AS$22:$AS$33</c:f>
              <c:numCache>
                <c:formatCode>0</c:formatCode>
                <c:ptCount val="12"/>
                <c:pt idx="0">
                  <c:v>313.59135913591359</c:v>
                </c:pt>
                <c:pt idx="1">
                  <c:v>470.3870387038703</c:v>
                </c:pt>
                <c:pt idx="2">
                  <c:v>548.78487848784869</c:v>
                </c:pt>
                <c:pt idx="3">
                  <c:v>705.58055805580557</c:v>
                </c:pt>
                <c:pt idx="4">
                  <c:v>940.77407740774061</c:v>
                </c:pt>
                <c:pt idx="5">
                  <c:v>1097.5697569756974</c:v>
                </c:pt>
                <c:pt idx="6">
                  <c:v>1254.3654365436544</c:v>
                </c:pt>
                <c:pt idx="7">
                  <c:v>1411.1611161116109</c:v>
                </c:pt>
                <c:pt idx="8">
                  <c:v>1567.9567956795677</c:v>
                </c:pt>
                <c:pt idx="9">
                  <c:v>1724.7524752475247</c:v>
                </c:pt>
                <c:pt idx="10">
                  <c:v>1881.5481548154812</c:v>
                </c:pt>
                <c:pt idx="11">
                  <c:v>2038.3438343834382</c:v>
                </c:pt>
              </c:numCache>
            </c:numRef>
          </c:yVal>
          <c:smooth val="1"/>
          <c:extLst>
            <c:ext xmlns:c16="http://schemas.microsoft.com/office/drawing/2014/chart" uri="{C3380CC4-5D6E-409C-BE32-E72D297353CC}">
              <c16:uniqueId val="{00000001-77E8-4B91-96CD-CAA5B440245C}"/>
            </c:ext>
          </c:extLst>
        </c:ser>
        <c:ser>
          <c:idx val="2"/>
          <c:order val="2"/>
          <c:tx>
            <c:strRef>
              <c:f>cal!$AT$21</c:f>
              <c:strCache>
                <c:ptCount val="1"/>
                <c:pt idx="0">
                  <c:v>Comfort Stufe  [W]</c:v>
                </c:pt>
              </c:strCache>
            </c:strRef>
          </c:tx>
          <c:spPr>
            <a:ln w="19050" cap="rnd">
              <a:solidFill>
                <a:schemeClr val="accent3"/>
              </a:solidFill>
              <a:round/>
            </a:ln>
            <a:effectLst/>
          </c:spPr>
          <c:marker>
            <c:symbol val="circle"/>
            <c:size val="5"/>
            <c:spPr>
              <a:solidFill>
                <a:schemeClr val="accent3"/>
              </a:solidFill>
              <a:ln w="9525">
                <a:solidFill>
                  <a:schemeClr val="accent3"/>
                </a:solidFill>
              </a:ln>
              <a:effectLst/>
            </c:spPr>
          </c:marker>
          <c:trendline>
            <c:spPr>
              <a:ln w="19050" cap="rnd">
                <a:solidFill>
                  <a:schemeClr val="accent3"/>
                </a:solidFill>
                <a:prstDash val="sysDot"/>
              </a:ln>
              <a:effectLst/>
            </c:spPr>
            <c:trendlineType val="linear"/>
            <c:dispRSqr val="0"/>
            <c:dispEq val="1"/>
            <c:trendlineLbl>
              <c:layout>
                <c:manualLayout>
                  <c:x val="0.1952825019129662"/>
                  <c:y val="-5.5640095549854022E-3"/>
                </c:manualLayout>
              </c:layout>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BE"/>
                </a:p>
              </c:txPr>
            </c:trendlineLbl>
          </c:trendline>
          <c:xVal>
            <c:numRef>
              <c:f>cal!$M$22:$M$33</c:f>
              <c:numCache>
                <c:formatCode>General</c:formatCode>
                <c:ptCount val="12"/>
                <c:pt idx="0">
                  <c:v>70</c:v>
                </c:pt>
                <c:pt idx="1">
                  <c:v>90</c:v>
                </c:pt>
                <c:pt idx="2">
                  <c:v>100</c:v>
                </c:pt>
                <c:pt idx="3">
                  <c:v>120</c:v>
                </c:pt>
                <c:pt idx="4">
                  <c:v>150</c:v>
                </c:pt>
                <c:pt idx="5">
                  <c:v>170</c:v>
                </c:pt>
                <c:pt idx="6">
                  <c:v>190</c:v>
                </c:pt>
                <c:pt idx="7">
                  <c:v>210</c:v>
                </c:pt>
                <c:pt idx="8">
                  <c:v>230</c:v>
                </c:pt>
                <c:pt idx="9">
                  <c:v>250</c:v>
                </c:pt>
                <c:pt idx="10">
                  <c:v>270</c:v>
                </c:pt>
                <c:pt idx="11">
                  <c:v>290</c:v>
                </c:pt>
              </c:numCache>
            </c:numRef>
          </c:xVal>
          <c:yVal>
            <c:numRef>
              <c:f>cal!$AT$22:$AT$33</c:f>
              <c:numCache>
                <c:formatCode>0</c:formatCode>
                <c:ptCount val="12"/>
                <c:pt idx="0">
                  <c:v>850.40504050405048</c:v>
                </c:pt>
                <c:pt idx="1">
                  <c:v>1275.6075607560756</c:v>
                </c:pt>
                <c:pt idx="2">
                  <c:v>1488.2088208820883</c:v>
                </c:pt>
                <c:pt idx="3">
                  <c:v>1913.4113411341136</c:v>
                </c:pt>
                <c:pt idx="4">
                  <c:v>2551.2151215121512</c:v>
                </c:pt>
                <c:pt idx="5">
                  <c:v>2976.4176417641766</c:v>
                </c:pt>
                <c:pt idx="6">
                  <c:v>3401.6201620162019</c:v>
                </c:pt>
                <c:pt idx="7">
                  <c:v>3826.8226822682273</c:v>
                </c:pt>
                <c:pt idx="8">
                  <c:v>4252.0252025202517</c:v>
                </c:pt>
                <c:pt idx="9">
                  <c:v>4677.227722772278</c:v>
                </c:pt>
                <c:pt idx="10">
                  <c:v>5102.4302430243024</c:v>
                </c:pt>
                <c:pt idx="11">
                  <c:v>5527.6327632763278</c:v>
                </c:pt>
              </c:numCache>
            </c:numRef>
          </c:yVal>
          <c:smooth val="1"/>
          <c:extLst>
            <c:ext xmlns:c16="http://schemas.microsoft.com/office/drawing/2014/chart" uri="{C3380CC4-5D6E-409C-BE32-E72D297353CC}">
              <c16:uniqueId val="{00000002-77E8-4B91-96CD-CAA5B440245C}"/>
            </c:ext>
          </c:extLst>
        </c:ser>
        <c:ser>
          <c:idx val="3"/>
          <c:order val="3"/>
          <c:tx>
            <c:strRef>
              <c:f>cal!$AU$21</c:f>
              <c:strCache>
                <c:ptCount val="1"/>
                <c:pt idx="0">
                  <c:v>Boost Stufe  [W]</c:v>
                </c:pt>
              </c:strCache>
            </c:strRef>
          </c:tx>
          <c:spPr>
            <a:ln w="19050" cap="rnd">
              <a:solidFill>
                <a:schemeClr val="accent4"/>
              </a:solidFill>
              <a:round/>
            </a:ln>
            <a:effectLst/>
          </c:spPr>
          <c:marker>
            <c:symbol val="circle"/>
            <c:size val="5"/>
            <c:spPr>
              <a:solidFill>
                <a:schemeClr val="accent4"/>
              </a:solidFill>
              <a:ln w="9525">
                <a:solidFill>
                  <a:schemeClr val="accent4"/>
                </a:solidFill>
              </a:ln>
              <a:effectLst/>
            </c:spPr>
          </c:marker>
          <c:trendline>
            <c:spPr>
              <a:ln w="19050" cap="rnd">
                <a:solidFill>
                  <a:schemeClr val="accent4"/>
                </a:solidFill>
                <a:prstDash val="sysDot"/>
              </a:ln>
              <a:effectLst/>
            </c:spPr>
            <c:trendlineType val="linear"/>
            <c:dispRSqr val="0"/>
            <c:dispEq val="1"/>
            <c:trendlineLbl>
              <c:layout>
                <c:manualLayout>
                  <c:x val="0.1952825019129662"/>
                  <c:y val="-3.1906278569111449E-2"/>
                </c:manualLayout>
              </c:layout>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BE"/>
                </a:p>
              </c:txPr>
            </c:trendlineLbl>
          </c:trendline>
          <c:xVal>
            <c:numRef>
              <c:f>cal!$M$22:$M$33</c:f>
              <c:numCache>
                <c:formatCode>General</c:formatCode>
                <c:ptCount val="12"/>
                <c:pt idx="0">
                  <c:v>70</c:v>
                </c:pt>
                <c:pt idx="1">
                  <c:v>90</c:v>
                </c:pt>
                <c:pt idx="2">
                  <c:v>100</c:v>
                </c:pt>
                <c:pt idx="3">
                  <c:v>120</c:v>
                </c:pt>
                <c:pt idx="4">
                  <c:v>150</c:v>
                </c:pt>
                <c:pt idx="5">
                  <c:v>170</c:v>
                </c:pt>
                <c:pt idx="6">
                  <c:v>190</c:v>
                </c:pt>
                <c:pt idx="7">
                  <c:v>210</c:v>
                </c:pt>
                <c:pt idx="8">
                  <c:v>230</c:v>
                </c:pt>
                <c:pt idx="9">
                  <c:v>250</c:v>
                </c:pt>
                <c:pt idx="10">
                  <c:v>270</c:v>
                </c:pt>
                <c:pt idx="11">
                  <c:v>290</c:v>
                </c:pt>
              </c:numCache>
            </c:numRef>
          </c:xVal>
          <c:yVal>
            <c:numRef>
              <c:f>cal!$AU$22:$AU$33</c:f>
              <c:numCache>
                <c:formatCode>0</c:formatCode>
                <c:ptCount val="12"/>
                <c:pt idx="0">
                  <c:v>1343.2943294329434</c:v>
                </c:pt>
                <c:pt idx="1">
                  <c:v>2014.9414941494153</c:v>
                </c:pt>
                <c:pt idx="2">
                  <c:v>2350.765076507651</c:v>
                </c:pt>
                <c:pt idx="3">
                  <c:v>3022.4122412241227</c:v>
                </c:pt>
                <c:pt idx="4">
                  <c:v>4029.8829882988307</c:v>
                </c:pt>
                <c:pt idx="5">
                  <c:v>4701.5301530153019</c:v>
                </c:pt>
                <c:pt idx="6">
                  <c:v>5373.1773177317737</c:v>
                </c:pt>
                <c:pt idx="7">
                  <c:v>6044.8244824482454</c:v>
                </c:pt>
                <c:pt idx="8">
                  <c:v>6716.4716471647162</c:v>
                </c:pt>
                <c:pt idx="9">
                  <c:v>7388.1188118811888</c:v>
                </c:pt>
                <c:pt idx="10">
                  <c:v>8059.7659765976614</c:v>
                </c:pt>
                <c:pt idx="11">
                  <c:v>8731.4131413141313</c:v>
                </c:pt>
              </c:numCache>
            </c:numRef>
          </c:yVal>
          <c:smooth val="1"/>
          <c:extLst>
            <c:ext xmlns:c16="http://schemas.microsoft.com/office/drawing/2014/chart" uri="{C3380CC4-5D6E-409C-BE32-E72D297353CC}">
              <c16:uniqueId val="{00000003-77E8-4B91-96CD-CAA5B440245C}"/>
            </c:ext>
          </c:extLst>
        </c:ser>
        <c:dLbls>
          <c:showLegendKey val="0"/>
          <c:showVal val="0"/>
          <c:showCatName val="0"/>
          <c:showSerName val="0"/>
          <c:showPercent val="0"/>
          <c:showBubbleSize val="0"/>
        </c:dLbls>
        <c:axId val="690862088"/>
        <c:axId val="690866352"/>
      </c:scatterChart>
      <c:valAx>
        <c:axId val="690862088"/>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nl-BE"/>
                  <a:t>Length [cm]</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nl-BE"/>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BE"/>
          </a:p>
        </c:txPr>
        <c:crossAx val="690866352"/>
        <c:crosses val="autoZero"/>
        <c:crossBetween val="midCat"/>
      </c:valAx>
      <c:valAx>
        <c:axId val="69086635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nl-BE"/>
                  <a:t>Power [W]</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nl-BE"/>
            </a:p>
          </c:txPr>
        </c:title>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BE"/>
          </a:p>
        </c:txPr>
        <c:crossAx val="690862088"/>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B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nl-BE"/>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vmlDrawing1.vml.rels><?xml version="1.0" encoding="UTF-8" standalone="yes"?>
<Relationships xmlns="http://schemas.openxmlformats.org/package/2006/relationships"><Relationship Id="rId3" Type="http://schemas.openxmlformats.org/officeDocument/2006/relationships/image" Target="../media/image1.emf"/><Relationship Id="rId2" Type="http://schemas.openxmlformats.org/officeDocument/2006/relationships/image" Target="../media/image3.emf"/><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9</xdr:col>
          <xdr:colOff>57160</xdr:colOff>
          <xdr:row>10</xdr:row>
          <xdr:rowOff>66674</xdr:rowOff>
        </xdr:from>
        <xdr:to>
          <xdr:col>10</xdr:col>
          <xdr:colOff>476250</xdr:colOff>
          <xdr:row>13</xdr:row>
          <xdr:rowOff>47622</xdr:rowOff>
        </xdr:to>
        <xdr:grpSp>
          <xdr:nvGrpSpPr>
            <xdr:cNvPr id="4" name="Groep 3">
              <a:extLst>
                <a:ext uri="{FF2B5EF4-FFF2-40B4-BE49-F238E27FC236}">
                  <a16:creationId xmlns:a16="http://schemas.microsoft.com/office/drawing/2014/main" id="{00000000-0008-0000-0000-000004000000}"/>
                </a:ext>
              </a:extLst>
            </xdr:cNvPr>
            <xdr:cNvGrpSpPr>
              <a:grpSpLocks noChangeAspect="1"/>
            </xdr:cNvGrpSpPr>
          </xdr:nvGrpSpPr>
          <xdr:grpSpPr>
            <a:xfrm>
              <a:off x="5047432" y="2013087"/>
              <a:ext cx="998872" cy="540024"/>
              <a:chOff x="9374373" y="1047160"/>
              <a:chExt cx="394028" cy="498213"/>
            </a:xfrm>
            <a:noFill/>
            <a:effectLst/>
          </xdr:grpSpPr>
          <xdr:sp macro="" textlink="">
            <xdr:nvSpPr>
              <xdr:cNvPr id="2055" name="rbtnSI" hidden="1">
                <a:extLst>
                  <a:ext uri="{63B3BB69-23CF-44E3-9099-C40C66FF867C}">
                    <a14:compatExt spid="_x0000_s2055"/>
                  </a:ext>
                  <a:ext uri="{FF2B5EF4-FFF2-40B4-BE49-F238E27FC236}">
                    <a16:creationId xmlns:a16="http://schemas.microsoft.com/office/drawing/2014/main" id="{00000000-0008-0000-0000-000007080000}"/>
                  </a:ext>
                </a:extLst>
              </xdr:cNvPr>
              <xdr:cNvSpPr/>
            </xdr:nvSpPr>
            <xdr:spPr bwMode="auto">
              <a:xfrm>
                <a:off x="9374418" y="1047160"/>
                <a:ext cx="382767" cy="257695"/>
              </a:xfrm>
              <a:prstGeom prst="rect">
                <a:avLst/>
              </a:prstGeom>
              <a:noFill/>
              <a:ln>
                <a:noFill/>
              </a:ln>
              <a:extLst>
                <a:ext uri="{91240B29-F687-4F45-9708-019B960494DF}">
                  <a14:hiddenLine w="9525">
                    <a:noFill/>
                    <a:miter lim="800000"/>
                    <a:headEnd/>
                    <a:tailEnd/>
                  </a14:hiddenLine>
                </a:ext>
              </a:extLst>
            </xdr:spPr>
          </xdr:sp>
          <xdr:sp macro="" textlink="">
            <xdr:nvSpPr>
              <xdr:cNvPr id="2056" name="rbtnImp" hidden="1">
                <a:extLst>
                  <a:ext uri="{63B3BB69-23CF-44E3-9099-C40C66FF867C}">
                    <a14:compatExt spid="_x0000_s2056"/>
                  </a:ext>
                  <a:ext uri="{FF2B5EF4-FFF2-40B4-BE49-F238E27FC236}">
                    <a16:creationId xmlns:a16="http://schemas.microsoft.com/office/drawing/2014/main" id="{00000000-0008-0000-0000-000008080000}"/>
                  </a:ext>
                </a:extLst>
              </xdr:cNvPr>
              <xdr:cNvSpPr/>
            </xdr:nvSpPr>
            <xdr:spPr bwMode="auto">
              <a:xfrm>
                <a:off x="9374373" y="1296268"/>
                <a:ext cx="394028" cy="249105"/>
              </a:xfrm>
              <a:prstGeom prst="rect">
                <a:avLst/>
              </a:prstGeom>
              <a:noFill/>
              <a:ln>
                <a:noFill/>
              </a:ln>
              <a:extLst>
                <a:ext uri="{91240B29-F687-4F45-9708-019B960494DF}">
                  <a14:hiddenLine w="9525">
                    <a:noFill/>
                    <a:miter lim="800000"/>
                    <a:headEnd/>
                    <a:tailEnd/>
                  </a14:hiddenLine>
                </a:ext>
              </a:extLst>
            </xdr:spPr>
          </xdr:sp>
        </xdr:grpSp>
        <xdr:clientData/>
      </xdr:twoCellAnchor>
    </mc:Choice>
    <mc:Fallback/>
  </mc:AlternateContent>
  <xdr:twoCellAnchor editAs="oneCell">
    <xdr:from>
      <xdr:col>9</xdr:col>
      <xdr:colOff>95250</xdr:colOff>
      <xdr:row>0</xdr:row>
      <xdr:rowOff>95250</xdr:rowOff>
    </xdr:from>
    <xdr:to>
      <xdr:col>10</xdr:col>
      <xdr:colOff>408743</xdr:colOff>
      <xdr:row>2</xdr:row>
      <xdr:rowOff>86014</xdr:rowOff>
    </xdr:to>
    <xdr:pic>
      <xdr:nvPicPr>
        <xdr:cNvPr id="7" name="Afbeelding 6">
          <a:extLst>
            <a:ext uri="{FF2B5EF4-FFF2-40B4-BE49-F238E27FC236}">
              <a16:creationId xmlns:a16="http://schemas.microsoft.com/office/drawing/2014/main" id="{00000000-0008-0000-0000-000007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5781675" y="95250"/>
          <a:ext cx="894518" cy="562264"/>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xdr:col>
          <xdr:colOff>333375</xdr:colOff>
          <xdr:row>3</xdr:row>
          <xdr:rowOff>95250</xdr:rowOff>
        </xdr:from>
        <xdr:to>
          <xdr:col>4</xdr:col>
          <xdr:colOff>361950</xdr:colOff>
          <xdr:row>5</xdr:row>
          <xdr:rowOff>123825</xdr:rowOff>
        </xdr:to>
        <xdr:sp macro="" textlink="">
          <xdr:nvSpPr>
            <xdr:cNvPr id="2065" name="btnCopy" hidden="1">
              <a:extLst>
                <a:ext uri="{63B3BB69-23CF-44E3-9099-C40C66FF867C}">
                  <a14:compatExt spid="_x0000_s2065"/>
                </a:ext>
                <a:ext uri="{FF2B5EF4-FFF2-40B4-BE49-F238E27FC236}">
                  <a16:creationId xmlns:a16="http://schemas.microsoft.com/office/drawing/2014/main" id="{00000000-0008-0000-0000-00001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13</xdr:col>
      <xdr:colOff>0</xdr:colOff>
      <xdr:row>34</xdr:row>
      <xdr:rowOff>0</xdr:rowOff>
    </xdr:from>
    <xdr:to>
      <xdr:col>22</xdr:col>
      <xdr:colOff>590550</xdr:colOff>
      <xdr:row>56</xdr:row>
      <xdr:rowOff>5175</xdr:rowOff>
    </xdr:to>
    <xdr:graphicFrame macro="">
      <xdr:nvGraphicFramePr>
        <xdr:cNvPr id="12" name="Grafiek 11">
          <a:extLst>
            <a:ext uri="{FF2B5EF4-FFF2-40B4-BE49-F238E27FC236}">
              <a16:creationId xmlns:a16="http://schemas.microsoft.com/office/drawing/2014/main" id="{00000000-0008-0000-01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23</xdr:col>
      <xdr:colOff>0</xdr:colOff>
      <xdr:row>34</xdr:row>
      <xdr:rowOff>0</xdr:rowOff>
    </xdr:from>
    <xdr:to>
      <xdr:col>32</xdr:col>
      <xdr:colOff>590550</xdr:colOff>
      <xdr:row>56</xdr:row>
      <xdr:rowOff>5175</xdr:rowOff>
    </xdr:to>
    <xdr:graphicFrame macro="">
      <xdr:nvGraphicFramePr>
        <xdr:cNvPr id="14" name="Grafiek 13">
          <a:extLst>
            <a:ext uri="{FF2B5EF4-FFF2-40B4-BE49-F238E27FC236}">
              <a16:creationId xmlns:a16="http://schemas.microsoft.com/office/drawing/2014/main" id="{00000000-0008-0000-01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33</xdr:col>
      <xdr:colOff>0</xdr:colOff>
      <xdr:row>34</xdr:row>
      <xdr:rowOff>0</xdr:rowOff>
    </xdr:from>
    <xdr:to>
      <xdr:col>42</xdr:col>
      <xdr:colOff>590550</xdr:colOff>
      <xdr:row>56</xdr:row>
      <xdr:rowOff>5175</xdr:rowOff>
    </xdr:to>
    <xdr:graphicFrame macro="">
      <xdr:nvGraphicFramePr>
        <xdr:cNvPr id="15" name="Grafiek 14">
          <a:extLst>
            <a:ext uri="{FF2B5EF4-FFF2-40B4-BE49-F238E27FC236}">
              <a16:creationId xmlns:a16="http://schemas.microsoft.com/office/drawing/2014/main" id="{00000000-0008-0000-01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43</xdr:col>
      <xdr:colOff>0</xdr:colOff>
      <xdr:row>34</xdr:row>
      <xdr:rowOff>0</xdr:rowOff>
    </xdr:from>
    <xdr:to>
      <xdr:col>52</xdr:col>
      <xdr:colOff>590550</xdr:colOff>
      <xdr:row>56</xdr:row>
      <xdr:rowOff>5175</xdr:rowOff>
    </xdr:to>
    <xdr:graphicFrame macro="">
      <xdr:nvGraphicFramePr>
        <xdr:cNvPr id="16" name="Grafiek 15">
          <a:extLst>
            <a:ext uri="{FF2B5EF4-FFF2-40B4-BE49-F238E27FC236}">
              <a16:creationId xmlns:a16="http://schemas.microsoft.com/office/drawing/2014/main" id="{00000000-0008-0000-0100-00001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oneCellAnchor>
    <xdr:from>
      <xdr:col>17</xdr:col>
      <xdr:colOff>371475</xdr:colOff>
      <xdr:row>15</xdr:row>
      <xdr:rowOff>428625</xdr:rowOff>
    </xdr:from>
    <xdr:ext cx="5111271" cy="716735"/>
    <mc:AlternateContent xmlns:mc="http://schemas.openxmlformats.org/markup-compatibility/2006" xmlns:a14="http://schemas.microsoft.com/office/drawing/2010/main">
      <mc:Choice Requires="a14">
        <xdr:sp macro="" textlink="">
          <xdr:nvSpPr>
            <xdr:cNvPr id="6" name="Tekstvak 5">
              <a:extLst>
                <a:ext uri="{FF2B5EF4-FFF2-40B4-BE49-F238E27FC236}">
                  <a16:creationId xmlns:a16="http://schemas.microsoft.com/office/drawing/2014/main" id="{00000000-0008-0000-0100-000006000000}"/>
                </a:ext>
              </a:extLst>
            </xdr:cNvPr>
            <xdr:cNvSpPr txBox="1"/>
          </xdr:nvSpPr>
          <xdr:spPr>
            <a:xfrm>
              <a:off x="10086975" y="3362325"/>
              <a:ext cx="5111271" cy="716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nl-BE" sz="2400" i="1">
                        <a:latin typeface="Cambria Math" panose="02040503050406030204" pitchFamily="18" charset="0"/>
                        <a:ea typeface="Cambria Math" panose="02040503050406030204" pitchFamily="18" charset="0"/>
                      </a:rPr>
                      <m:t>∆</m:t>
                    </m:r>
                    <m:r>
                      <a:rPr lang="nl-BE" sz="2400" b="0" i="1">
                        <a:latin typeface="Cambria Math" panose="02040503050406030204" pitchFamily="18" charset="0"/>
                        <a:ea typeface="Cambria Math" panose="02040503050406030204" pitchFamily="18" charset="0"/>
                      </a:rPr>
                      <m:t>𝑝</m:t>
                    </m:r>
                    <m:r>
                      <a:rPr lang="nl-BE" sz="2400" b="0" i="1">
                        <a:latin typeface="Cambria Math" panose="02040503050406030204" pitchFamily="18" charset="0"/>
                        <a:ea typeface="Cambria Math" panose="02040503050406030204" pitchFamily="18" charset="0"/>
                      </a:rPr>
                      <m:t>= </m:t>
                    </m:r>
                    <m:sSub>
                      <m:sSubPr>
                        <m:ctrlPr>
                          <a:rPr lang="nl-BE" sz="2400" b="0" i="1">
                            <a:latin typeface="Cambria Math" panose="02040503050406030204" pitchFamily="18" charset="0"/>
                            <a:ea typeface="Cambria Math" panose="02040503050406030204" pitchFamily="18" charset="0"/>
                          </a:rPr>
                        </m:ctrlPr>
                      </m:sSubPr>
                      <m:e>
                        <m:r>
                          <a:rPr lang="nl-BE" sz="2400" b="0" i="1">
                            <a:latin typeface="Cambria Math" panose="02040503050406030204" pitchFamily="18" charset="0"/>
                            <a:ea typeface="Cambria Math" panose="02040503050406030204" pitchFamily="18" charset="0"/>
                          </a:rPr>
                          <m:t>𝑘</m:t>
                        </m:r>
                      </m:e>
                      <m:sub>
                        <m:r>
                          <a:rPr lang="nl-BE" sz="2400" b="0" i="1">
                            <a:latin typeface="Cambria Math" panose="02040503050406030204" pitchFamily="18" charset="0"/>
                            <a:ea typeface="Cambria Math" panose="02040503050406030204" pitchFamily="18" charset="0"/>
                          </a:rPr>
                          <m:t>1</m:t>
                        </m:r>
                      </m:sub>
                    </m:sSub>
                    <m:r>
                      <a:rPr lang="nl-BE" sz="2400" b="0" i="1">
                        <a:latin typeface="Cambria Math" panose="02040503050406030204" pitchFamily="18" charset="0"/>
                        <a:ea typeface="Cambria Math" panose="02040503050406030204" pitchFamily="18" charset="0"/>
                      </a:rPr>
                      <m:t>∗</m:t>
                    </m:r>
                    <m:sSup>
                      <m:sSupPr>
                        <m:ctrlPr>
                          <a:rPr lang="nl-BE" sz="2400" b="0" i="1">
                            <a:latin typeface="Cambria Math" panose="02040503050406030204" pitchFamily="18" charset="0"/>
                            <a:ea typeface="Cambria Math" panose="02040503050406030204" pitchFamily="18" charset="0"/>
                          </a:rPr>
                        </m:ctrlPr>
                      </m:sSupPr>
                      <m:e>
                        <m:r>
                          <a:rPr lang="nl-BE" sz="2400" b="0" i="1">
                            <a:latin typeface="Cambria Math" panose="02040503050406030204" pitchFamily="18" charset="0"/>
                            <a:ea typeface="Cambria Math" panose="02040503050406030204" pitchFamily="18" charset="0"/>
                          </a:rPr>
                          <m:t>𝑞</m:t>
                        </m:r>
                      </m:e>
                      <m:sup>
                        <m:r>
                          <a:rPr lang="nl-BE" sz="2400" b="0" i="1">
                            <a:latin typeface="Cambria Math" panose="02040503050406030204" pitchFamily="18" charset="0"/>
                            <a:ea typeface="Cambria Math" panose="02040503050406030204" pitchFamily="18" charset="0"/>
                          </a:rPr>
                          <m:t>𝑛</m:t>
                        </m:r>
                      </m:sup>
                    </m:sSup>
                    <m:r>
                      <a:rPr lang="nl-BE" sz="2400" b="0" i="1">
                        <a:latin typeface="Cambria Math" panose="02040503050406030204" pitchFamily="18" charset="0"/>
                        <a:ea typeface="Cambria Math" panose="02040503050406030204" pitchFamily="18" charset="0"/>
                      </a:rPr>
                      <m:t>∗</m:t>
                    </m:r>
                    <m:f>
                      <m:fPr>
                        <m:ctrlPr>
                          <a:rPr lang="nl-BE" sz="2400" b="0" i="1">
                            <a:latin typeface="Cambria Math" panose="02040503050406030204" pitchFamily="18" charset="0"/>
                            <a:ea typeface="Cambria Math" panose="02040503050406030204" pitchFamily="18" charset="0"/>
                          </a:rPr>
                        </m:ctrlPr>
                      </m:fPr>
                      <m:num>
                        <m:d>
                          <m:dPr>
                            <m:ctrlPr>
                              <a:rPr lang="nl-BE" sz="2400" b="0" i="1">
                                <a:latin typeface="Cambria Math" panose="02040503050406030204" pitchFamily="18" charset="0"/>
                                <a:ea typeface="Cambria Math" panose="02040503050406030204" pitchFamily="18" charset="0"/>
                              </a:rPr>
                            </m:ctrlPr>
                          </m:dPr>
                          <m:e>
                            <m:r>
                              <a:rPr lang="nl-BE" sz="2400" b="0" i="1">
                                <a:latin typeface="Cambria Math" panose="02040503050406030204" pitchFamily="18" charset="0"/>
                                <a:ea typeface="Cambria Math" panose="02040503050406030204" pitchFamily="18" charset="0"/>
                              </a:rPr>
                              <m:t>𝐿</m:t>
                            </m:r>
                            <m:r>
                              <a:rPr lang="nl-BE" sz="2400" b="0" i="1">
                                <a:latin typeface="Cambria Math" panose="02040503050406030204" pitchFamily="18" charset="0"/>
                                <a:ea typeface="Cambria Math" panose="02040503050406030204" pitchFamily="18" charset="0"/>
                              </a:rPr>
                              <m:t>−144</m:t>
                            </m:r>
                          </m:e>
                        </m:d>
                        <m:r>
                          <a:rPr lang="nl-BE" sz="2400" b="0" i="1">
                            <a:latin typeface="Cambria Math" panose="02040503050406030204" pitchFamily="18" charset="0"/>
                            <a:ea typeface="Cambria Math" panose="02040503050406030204" pitchFamily="18" charset="0"/>
                          </a:rPr>
                          <m:t>∗</m:t>
                        </m:r>
                        <m:r>
                          <a:rPr lang="nl-BE" sz="2400" b="0" i="1">
                            <a:latin typeface="Cambria Math" panose="02040503050406030204" pitchFamily="18" charset="0"/>
                            <a:ea typeface="Cambria Math" panose="02040503050406030204" pitchFamily="18" charset="0"/>
                          </a:rPr>
                          <m:t>𝑡</m:t>
                        </m:r>
                      </m:num>
                      <m:den>
                        <m:r>
                          <a:rPr lang="nl-BE" sz="2400" b="0" i="1">
                            <a:latin typeface="Cambria Math" panose="02040503050406030204" pitchFamily="18" charset="0"/>
                            <a:ea typeface="Cambria Math" panose="02040503050406030204" pitchFamily="18" charset="0"/>
                          </a:rPr>
                          <m:t>1000</m:t>
                        </m:r>
                      </m:den>
                    </m:f>
                    <m:r>
                      <a:rPr lang="nl-BE" sz="2400" b="0" i="1">
                        <a:latin typeface="Cambria Math" panose="02040503050406030204" pitchFamily="18" charset="0"/>
                        <a:ea typeface="Cambria Math" panose="02040503050406030204" pitchFamily="18" charset="0"/>
                      </a:rPr>
                      <m:t>+</m:t>
                    </m:r>
                    <m:sSub>
                      <m:sSubPr>
                        <m:ctrlPr>
                          <a:rPr lang="nl-BE" sz="2400" b="0" i="1">
                            <a:latin typeface="Cambria Math" panose="02040503050406030204" pitchFamily="18" charset="0"/>
                            <a:ea typeface="Cambria Math" panose="02040503050406030204" pitchFamily="18" charset="0"/>
                          </a:rPr>
                        </m:ctrlPr>
                      </m:sSubPr>
                      <m:e>
                        <m:r>
                          <a:rPr lang="nl-BE" sz="2400" b="0" i="1">
                            <a:latin typeface="Cambria Math" panose="02040503050406030204" pitchFamily="18" charset="0"/>
                            <a:ea typeface="Cambria Math" panose="02040503050406030204" pitchFamily="18" charset="0"/>
                          </a:rPr>
                          <m:t>𝑘</m:t>
                        </m:r>
                      </m:e>
                      <m:sub>
                        <m:r>
                          <a:rPr lang="nl-BE" sz="2400" b="0" i="1">
                            <a:latin typeface="Cambria Math" panose="02040503050406030204" pitchFamily="18" charset="0"/>
                            <a:ea typeface="Cambria Math" panose="02040503050406030204" pitchFamily="18" charset="0"/>
                          </a:rPr>
                          <m:t>2</m:t>
                        </m:r>
                      </m:sub>
                    </m:sSub>
                    <m:r>
                      <a:rPr lang="nl-BE" sz="2400" b="0" i="1">
                        <a:latin typeface="Cambria Math" panose="02040503050406030204" pitchFamily="18" charset="0"/>
                        <a:ea typeface="Cambria Math" panose="02040503050406030204" pitchFamily="18" charset="0"/>
                      </a:rPr>
                      <m:t>∗</m:t>
                    </m:r>
                    <m:sSup>
                      <m:sSupPr>
                        <m:ctrlPr>
                          <a:rPr lang="nl-BE" sz="2400" b="0" i="1">
                            <a:latin typeface="Cambria Math" panose="02040503050406030204" pitchFamily="18" charset="0"/>
                            <a:ea typeface="Cambria Math" panose="02040503050406030204" pitchFamily="18" charset="0"/>
                          </a:rPr>
                        </m:ctrlPr>
                      </m:sSupPr>
                      <m:e>
                        <m:r>
                          <a:rPr lang="nl-BE" sz="2400" b="0" i="1">
                            <a:latin typeface="Cambria Math" panose="02040503050406030204" pitchFamily="18" charset="0"/>
                            <a:ea typeface="Cambria Math" panose="02040503050406030204" pitchFamily="18" charset="0"/>
                          </a:rPr>
                          <m:t>𝑞</m:t>
                        </m:r>
                      </m:e>
                      <m:sup>
                        <m:r>
                          <a:rPr lang="nl-BE" sz="2400" b="0" i="1">
                            <a:latin typeface="Cambria Math" panose="02040503050406030204" pitchFamily="18" charset="0"/>
                            <a:ea typeface="Cambria Math" panose="02040503050406030204" pitchFamily="18" charset="0"/>
                          </a:rPr>
                          <m:t>2</m:t>
                        </m:r>
                      </m:sup>
                    </m:sSup>
                  </m:oMath>
                </m:oMathPara>
              </a14:m>
              <a:endParaRPr lang="nl-BE" sz="2400"/>
            </a:p>
          </xdr:txBody>
        </xdr:sp>
      </mc:Choice>
      <mc:Fallback xmlns="">
        <xdr:sp macro="" textlink="">
          <xdr:nvSpPr>
            <xdr:cNvPr id="6" name="Tekstvak 5"/>
            <xdr:cNvSpPr txBox="1"/>
          </xdr:nvSpPr>
          <xdr:spPr>
            <a:xfrm>
              <a:off x="10086975" y="3362325"/>
              <a:ext cx="5111271" cy="716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nl-BE" sz="2400" i="0">
                  <a:latin typeface="Cambria Math" panose="02040503050406030204" pitchFamily="18" charset="0"/>
                  <a:ea typeface="Cambria Math" panose="02040503050406030204" pitchFamily="18" charset="0"/>
                </a:rPr>
                <a:t>∆</a:t>
              </a:r>
              <a:r>
                <a:rPr lang="nl-BE" sz="2400" b="0" i="0">
                  <a:latin typeface="Cambria Math" panose="02040503050406030204" pitchFamily="18" charset="0"/>
                  <a:ea typeface="Cambria Math" panose="02040503050406030204" pitchFamily="18" charset="0"/>
                </a:rPr>
                <a:t>𝑝= 𝑘_1∗𝑞^𝑛∗((𝐿−144)∗𝑡)/1000+𝑘_2∗𝑞^2</a:t>
              </a:r>
              <a:endParaRPr lang="nl-BE" sz="2400"/>
            </a:p>
          </xdr:txBody>
        </xdr:sp>
      </mc:Fallback>
    </mc:AlternateContent>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ontrol" Target="../activeX/activeX3.xml"/><Relationship Id="rId3" Type="http://schemas.openxmlformats.org/officeDocument/2006/relationships/vmlDrawing" Target="../drawings/vmlDrawing1.vml"/><Relationship Id="rId7" Type="http://schemas.openxmlformats.org/officeDocument/2006/relationships/image" Target="../media/image2.emf"/><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ntrol" Target="../activeX/activeX2.xml"/><Relationship Id="rId5" Type="http://schemas.openxmlformats.org/officeDocument/2006/relationships/image" Target="../media/image1.emf"/><Relationship Id="rId4" Type="http://schemas.openxmlformats.org/officeDocument/2006/relationships/control" Target="../activeX/activeX1.xml"/><Relationship Id="rId9" Type="http://schemas.openxmlformats.org/officeDocument/2006/relationships/image" Target="../media/image3.emf"/></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1"/>
  <dimension ref="A1:BC49"/>
  <sheetViews>
    <sheetView showGridLines="0" tabSelected="1" showRuler="0" showWhiteSpace="0" zoomScale="92" zoomScaleNormal="100" workbookViewId="0">
      <selection activeCell="J6" sqref="J6:K6"/>
    </sheetView>
  </sheetViews>
  <sheetFormatPr defaultColWidth="0" defaultRowHeight="15" zeroHeight="1" x14ac:dyDescent="0.25"/>
  <cols>
    <col min="1" max="1" width="2.28515625" style="12" customWidth="1"/>
    <col min="2" max="2" width="8.28515625" style="12" customWidth="1"/>
    <col min="3" max="4" width="9.7109375" style="12" customWidth="1"/>
    <col min="5" max="5" width="8.7109375" style="12" customWidth="1"/>
    <col min="6" max="7" width="9.7109375" style="12" customWidth="1"/>
    <col min="8" max="8" width="8.7109375" style="12" customWidth="1"/>
    <col min="9" max="9" width="7.7109375" style="12" customWidth="1"/>
    <col min="10" max="10" width="8.7109375" style="12" customWidth="1"/>
    <col min="11" max="11" width="7.7109375" style="12" customWidth="1"/>
    <col min="12" max="12" width="2.28515625" style="12" customWidth="1"/>
    <col min="13" max="53" width="10.7109375" style="12" hidden="1" customWidth="1"/>
    <col min="54" max="55" width="11.42578125" style="12" hidden="1" customWidth="1"/>
    <col min="56" max="16384" width="10.7109375" style="12" hidden="1"/>
  </cols>
  <sheetData>
    <row r="1" spans="2:11" ht="15" customHeight="1" x14ac:dyDescent="0.25">
      <c r="D1" s="38"/>
      <c r="E1" s="38"/>
      <c r="F1" s="38"/>
      <c r="G1" s="38"/>
    </row>
    <row r="2" spans="2:11" ht="30" customHeight="1" x14ac:dyDescent="0.25">
      <c r="B2" s="113" t="s">
        <v>64</v>
      </c>
      <c r="C2" s="114"/>
      <c r="D2" s="114"/>
      <c r="E2" s="114"/>
      <c r="F2" s="114"/>
      <c r="G2" s="114"/>
      <c r="H2" s="114"/>
      <c r="I2" s="115"/>
    </row>
    <row r="3" spans="2:11" ht="15" customHeight="1" x14ac:dyDescent="0.25"/>
    <row r="4" spans="2:11" x14ac:dyDescent="0.25">
      <c r="B4" s="13"/>
      <c r="F4" s="100" t="s">
        <v>139</v>
      </c>
      <c r="G4" s="101"/>
      <c r="H4" s="101"/>
      <c r="I4" s="102"/>
      <c r="J4" s="103" t="s">
        <v>59</v>
      </c>
      <c r="K4" s="104"/>
    </row>
    <row r="5" spans="2:11" x14ac:dyDescent="0.25">
      <c r="B5" s="94"/>
      <c r="C5" s="94"/>
      <c r="F5" s="100" t="str">
        <f>cal!D5</f>
        <v>Model:</v>
      </c>
      <c r="G5" s="101"/>
      <c r="H5" s="101"/>
      <c r="I5" s="102"/>
      <c r="J5" s="103" t="s">
        <v>26</v>
      </c>
      <c r="K5" s="104"/>
    </row>
    <row r="6" spans="2:11" x14ac:dyDescent="0.25">
      <c r="B6" s="13"/>
      <c r="F6" s="100" t="str">
        <f>cal!D6</f>
        <v>Height [cm]:</v>
      </c>
      <c r="G6" s="101"/>
      <c r="H6" s="101"/>
      <c r="I6" s="102"/>
      <c r="J6" s="103" t="s">
        <v>204</v>
      </c>
      <c r="K6" s="104"/>
    </row>
    <row r="7" spans="2:11" x14ac:dyDescent="0.25">
      <c r="B7" s="14"/>
      <c r="F7" s="100" t="str">
        <f>cal!D7</f>
        <v>Fan speed:</v>
      </c>
      <c r="G7" s="101"/>
      <c r="H7" s="101"/>
      <c r="I7" s="102"/>
      <c r="J7" s="116" t="s">
        <v>11</v>
      </c>
      <c r="K7" s="117"/>
    </row>
    <row r="8" spans="2:11" ht="6" customHeight="1" x14ac:dyDescent="0.25">
      <c r="B8" s="15"/>
      <c r="C8" s="16"/>
      <c r="D8" s="16"/>
      <c r="E8" s="16"/>
      <c r="F8" s="16"/>
      <c r="G8" s="16"/>
      <c r="H8" s="18"/>
      <c r="I8" s="18"/>
      <c r="J8" s="16"/>
      <c r="K8" s="39"/>
    </row>
    <row r="9" spans="2:11" ht="15" customHeight="1" x14ac:dyDescent="0.25">
      <c r="B9" s="17" t="str">
        <f>cal!B9</f>
        <v>Temperatures</v>
      </c>
      <c r="C9" s="18"/>
      <c r="D9" s="18"/>
      <c r="E9" s="18"/>
      <c r="F9" s="18"/>
      <c r="G9" s="18"/>
      <c r="H9" s="18"/>
      <c r="I9" s="18"/>
      <c r="J9" s="18"/>
      <c r="K9" s="40"/>
    </row>
    <row r="10" spans="2:11" ht="15" customHeight="1" thickBot="1" x14ac:dyDescent="0.3">
      <c r="B10" s="17" t="str">
        <f>cal!B10</f>
        <v>Heating:</v>
      </c>
      <c r="C10" s="19"/>
      <c r="D10" s="18"/>
      <c r="E10" s="18"/>
      <c r="F10" s="19" t="str">
        <f>cal!F10</f>
        <v>Cooling:</v>
      </c>
      <c r="G10" s="18"/>
      <c r="H10" s="18"/>
      <c r="I10" s="19"/>
      <c r="J10" s="111" t="str">
        <f>cal!J10</f>
        <v>Unit conversion</v>
      </c>
      <c r="K10" s="112"/>
    </row>
    <row r="11" spans="2:11" ht="15" customHeight="1" thickTop="1" x14ac:dyDescent="0.25">
      <c r="B11" s="41" t="str">
        <f>cal!B11</f>
        <v>Supply water</v>
      </c>
      <c r="C11" s="18"/>
      <c r="D11" s="2">
        <v>75</v>
      </c>
      <c r="E11" s="18" t="str">
        <f>cal!E11</f>
        <v>°C</v>
      </c>
      <c r="F11" s="18" t="str">
        <f>cal!F11</f>
        <v>Supply water</v>
      </c>
      <c r="G11" s="18"/>
      <c r="H11" s="2">
        <v>15.999999999999998</v>
      </c>
      <c r="I11" s="42" t="str">
        <f>E11</f>
        <v>°C</v>
      </c>
      <c r="J11" s="105"/>
      <c r="K11" s="106"/>
    </row>
    <row r="12" spans="2:11" x14ac:dyDescent="0.25">
      <c r="B12" s="41" t="str">
        <f>cal!B12</f>
        <v>Return water</v>
      </c>
      <c r="C12" s="18"/>
      <c r="D12" s="2">
        <v>65</v>
      </c>
      <c r="E12" s="18" t="str">
        <f>E11</f>
        <v>°C</v>
      </c>
      <c r="F12" s="18" t="str">
        <f>cal!F12</f>
        <v>Return water</v>
      </c>
      <c r="G12" s="18"/>
      <c r="H12" s="2">
        <v>18.000000000000004</v>
      </c>
      <c r="I12" s="18" t="str">
        <f>E11</f>
        <v>°C</v>
      </c>
      <c r="J12" s="107"/>
      <c r="K12" s="108"/>
    </row>
    <row r="13" spans="2:11" x14ac:dyDescent="0.25">
      <c r="B13" s="41" t="str">
        <f>cal!B13</f>
        <v>Entering air</v>
      </c>
      <c r="C13" s="18"/>
      <c r="D13" s="2">
        <v>20</v>
      </c>
      <c r="E13" s="18" t="str">
        <f>E11</f>
        <v>°C</v>
      </c>
      <c r="F13" s="18" t="str">
        <f>cal!F13</f>
        <v>Entering air</v>
      </c>
      <c r="G13" s="18"/>
      <c r="H13" s="2">
        <v>26.999999999999996</v>
      </c>
      <c r="I13" s="18" t="str">
        <f>E11</f>
        <v>°C</v>
      </c>
      <c r="J13" s="107"/>
      <c r="K13" s="108"/>
    </row>
    <row r="14" spans="2:11" ht="6" customHeight="1" x14ac:dyDescent="0.25">
      <c r="B14" s="20"/>
      <c r="C14" s="21"/>
      <c r="D14" s="22"/>
      <c r="E14" s="22"/>
      <c r="F14" s="22"/>
      <c r="G14" s="22"/>
      <c r="H14" s="22"/>
      <c r="I14" s="22"/>
      <c r="J14" s="109"/>
      <c r="K14" s="110"/>
    </row>
    <row r="15" spans="2:11" x14ac:dyDescent="0.25">
      <c r="F15" s="44"/>
      <c r="G15" s="44"/>
      <c r="H15" s="45"/>
      <c r="I15" s="45"/>
    </row>
    <row r="16" spans="2:11" ht="114.95" customHeight="1" x14ac:dyDescent="0.25">
      <c r="B16" s="55" t="str">
        <f>cal!B16</f>
        <v>Length [cm]</v>
      </c>
      <c r="C16" s="56" t="str">
        <f>cal!C16</f>
        <v>Heating capacity in [W]</v>
      </c>
      <c r="D16" s="57" t="str">
        <f>cal!D16</f>
        <v>Water flowrate, heating in [l/h]</v>
      </c>
      <c r="E16" s="54" t="str">
        <f>cal!E16</f>
        <v>Water side pressure loss [kPa]</v>
      </c>
      <c r="F16" s="58" t="str">
        <f>cal!F16</f>
        <v>Sens. cooling capacity in [W]</v>
      </c>
      <c r="G16" s="57" t="str">
        <f>cal!G16</f>
        <v>Water flowrate, cooling in [l/h]</v>
      </c>
      <c r="H16" s="54" t="str">
        <f>cal!H16</f>
        <v>Water side pressure loss [kPa]</v>
      </c>
      <c r="I16" s="48" t="str">
        <f>cal!I16</f>
        <v>Air flowrate [m³/h]</v>
      </c>
      <c r="J16" s="49" t="str">
        <f>cal!J16</f>
        <v>Sound pressure* [dB(A)]</v>
      </c>
      <c r="K16" s="50" t="str">
        <f>cal!K16</f>
        <v>Electric power [W]</v>
      </c>
    </row>
    <row r="17" spans="2:12" s="23" customFormat="1" ht="15" customHeight="1" x14ac:dyDescent="0.25">
      <c r="B17" s="95" t="str">
        <f>cal!B17</f>
        <v>Clima Beam -  H15,3 B36 Type 20</v>
      </c>
      <c r="C17" s="96"/>
      <c r="D17" s="96"/>
      <c r="E17" s="96"/>
      <c r="F17" s="96"/>
      <c r="G17" s="96"/>
      <c r="H17" s="96"/>
      <c r="I17" s="97"/>
      <c r="J17" s="97"/>
      <c r="K17" s="98"/>
      <c r="L17" s="12"/>
    </row>
    <row r="18" spans="2:12" ht="15" customHeight="1" x14ac:dyDescent="0.25">
      <c r="B18" s="24">
        <f>IF(UnitsNo=1,ROUND(cal!B18-IF(cal!$N$9=1,5,0),0),IF(UnitsNo=2,ROUND(cal!B18-IF(cal!$N$9=1,5,0)*0.393700787,1),))</f>
        <v>70</v>
      </c>
      <c r="C18" s="24">
        <f>IF(UnitsNo=1,cal!C18,IF(UnitsNo=2,cal!C18*3.412141633,))</f>
        <v>787.03870387038705</v>
      </c>
      <c r="D18" s="60">
        <f>IF(UnitsNo=1,cal!D18,IF(UnitsNo=2,cal!D18/227.124707,))</f>
        <v>67.673147366327342</v>
      </c>
      <c r="E18" s="65">
        <f>IF(UnitsNo=1,cal!E18,IF(UnitsNo=2,cal!E18*0.334562))</f>
        <v>0.1</v>
      </c>
      <c r="F18" s="24">
        <f>IF(UnitsNo=1,cal!F18,IF(UnitsNo=2,cal!F18*3.412141633,))</f>
        <v>169.57695769576955</v>
      </c>
      <c r="G18" s="60">
        <f>IF(UnitsNo=1,cal!G18,IF(UnitsNo=2,cal!G18/227.124707,))</f>
        <v>72.904968914776049</v>
      </c>
      <c r="H18" s="65">
        <f>IF(UnitsNo=1,cal!H18,IF(UnitsNo=2,cal!H18*0.334562))</f>
        <v>0.1</v>
      </c>
      <c r="I18" s="24">
        <f>IF(UnitsNo=1,cal!I18,IF(UnitsNo=2,cal!I18/1.69901082,))</f>
        <v>55</v>
      </c>
      <c r="J18" s="26">
        <f>cal!J18</f>
        <v>17</v>
      </c>
      <c r="K18" s="25">
        <f>cal!K18</f>
        <v>5</v>
      </c>
    </row>
    <row r="19" spans="2:12" ht="15" customHeight="1" x14ac:dyDescent="0.25">
      <c r="B19" s="27">
        <f>IF(UnitsNo=1,ROUND(cal!B19-IF(cal!$N$9=1,5,0),0),IF(UnitsNo=2,ROUND(cal!B19-IF(cal!$N$9=1,5,0)*0.393700787,1),))</f>
        <v>90</v>
      </c>
      <c r="C19" s="27">
        <f>IF(UnitsNo=1,cal!C19,IF(UnitsNo=2,cal!C19*3.412141633,))</f>
        <v>1180.5580558055806</v>
      </c>
      <c r="D19" s="51">
        <f>IF(UnitsNo=1,cal!D19,IF(UnitsNo=2,cal!D19/227.124707,))</f>
        <v>101.50972104949102</v>
      </c>
      <c r="E19" s="67">
        <f>IF(UnitsNo=1,cal!E19,IF(UnitsNo=2,cal!E19*0.334562))</f>
        <v>0.1</v>
      </c>
      <c r="F19" s="27">
        <f>IF(UnitsNo=1,cal!F19,IF(UnitsNo=2,cal!F19*3.412141633,))</f>
        <v>254.36543654365434</v>
      </c>
      <c r="G19" s="51">
        <f>IF(UnitsNo=1,cal!G19,IF(UnitsNo=2,cal!G19/227.124707,))</f>
        <v>109.35745337216409</v>
      </c>
      <c r="H19" s="67">
        <f>IF(UnitsNo=1,cal!H19,IF(UnitsNo=2,cal!H19*0.334562))</f>
        <v>0.1</v>
      </c>
      <c r="I19" s="27">
        <f>IF(UnitsNo=1,cal!I19,IF(UnitsNo=2,cal!I19/1.69901082,))</f>
        <v>92</v>
      </c>
      <c r="J19" s="29">
        <f>cal!J19</f>
        <v>19</v>
      </c>
      <c r="K19" s="28">
        <f>cal!K19</f>
        <v>7.0106999999999999</v>
      </c>
    </row>
    <row r="20" spans="2:12" ht="15" customHeight="1" x14ac:dyDescent="0.25">
      <c r="B20" s="27">
        <f>IF(UnitsNo=1,ROUND(cal!B20-IF(cal!$N$9=1,5,0),0),IF(UnitsNo=2,ROUND(cal!B20-IF(cal!$N$9=1,5,0)*0.393700787,1),))</f>
        <v>100</v>
      </c>
      <c r="C20" s="27">
        <f>IF(UnitsNo=1,cal!C20,IF(UnitsNo=2,cal!C20*3.412141633,))</f>
        <v>1377.3177317731775</v>
      </c>
      <c r="D20" s="51">
        <f>IF(UnitsNo=1,cal!D20,IF(UnitsNo=2,cal!D20/227.124707,))</f>
        <v>118.42800789107287</v>
      </c>
      <c r="E20" s="67">
        <f>IF(UnitsNo=1,cal!E20,IF(UnitsNo=2,cal!E20*0.334562))</f>
        <v>5.872755814172359E-2</v>
      </c>
      <c r="F20" s="27">
        <f>IF(UnitsNo=1,cal!F20,IF(UnitsNo=2,cal!F20*3.412141633,))</f>
        <v>296.75967596759671</v>
      </c>
      <c r="G20" s="51">
        <f>IF(UnitsNo=1,cal!G20,IF(UnitsNo=2,cal!G20/227.124707,))</f>
        <v>127.58369560085808</v>
      </c>
      <c r="H20" s="67">
        <f>IF(UnitsNo=1,cal!H20,IF(UnitsNo=2,cal!H20*0.334562))</f>
        <v>6.8159037851902637E-2</v>
      </c>
      <c r="I20" s="27">
        <f>IF(UnitsNo=1,cal!I20,IF(UnitsNo=2,cal!I20/1.69901082,))</f>
        <v>110</v>
      </c>
      <c r="J20" s="29">
        <f>cal!J20</f>
        <v>20</v>
      </c>
      <c r="K20" s="28">
        <f>cal!K20</f>
        <v>8</v>
      </c>
    </row>
    <row r="21" spans="2:12" ht="15" customHeight="1" x14ac:dyDescent="0.25">
      <c r="B21" s="27">
        <f>IF(UnitsNo=1,ROUND(cal!B21-IF(cal!$N$9=1,5,0),0),IF(UnitsNo=2,ROUND(cal!B21-IF(cal!$N$9=1,5,0)*0.393700787,1),))</f>
        <v>120</v>
      </c>
      <c r="C21" s="27">
        <f>IF(UnitsNo=1,cal!C21,IF(UnitsNo=2,cal!C21*3.412141633,))</f>
        <v>1770.837083708371</v>
      </c>
      <c r="D21" s="51">
        <f>IF(UnitsNo=1,cal!D21,IF(UnitsNo=2,cal!D21/227.124707,))</f>
        <v>152.26458157423653</v>
      </c>
      <c r="E21" s="67">
        <f>IF(UnitsNo=1,cal!E21,IF(UnitsNo=2,cal!E21*0.334562))</f>
        <v>9.8852301202552825E-2</v>
      </c>
      <c r="F21" s="27">
        <f>IF(UnitsNo=1,cal!F21,IF(UnitsNo=2,cal!F21*3.412141633,))</f>
        <v>381.54815481548155</v>
      </c>
      <c r="G21" s="51">
        <f>IF(UnitsNo=1,cal!G21,IF(UnitsNo=2,cal!G21/227.124707,))</f>
        <v>164.03618005824615</v>
      </c>
      <c r="H21" s="67">
        <f>IF(UnitsNo=1,cal!H21,IF(UnitsNo=2,cal!H21*0.334562))</f>
        <v>0.11472770114420326</v>
      </c>
      <c r="I21" s="27">
        <f>IF(UnitsNo=1,cal!I21,IF(UnitsNo=2,cal!I21/1.69901082,))</f>
        <v>146</v>
      </c>
      <c r="J21" s="29">
        <f>cal!J21</f>
        <v>21</v>
      </c>
      <c r="K21" s="28">
        <f>cal!K21</f>
        <v>9.6999999999999993</v>
      </c>
    </row>
    <row r="22" spans="2:12" ht="15" customHeight="1" x14ac:dyDescent="0.25">
      <c r="B22" s="27">
        <f>IF(UnitsNo=1,ROUND(cal!B22-IF(cal!$N$9=1,5,0),0),IF(UnitsNo=2,ROUND(cal!B22-IF(cal!$N$9=1,5,0)*0.393700787,1),))</f>
        <v>150</v>
      </c>
      <c r="C22" s="27">
        <f>IF(UnitsNo=1,cal!C22,IF(UnitsNo=2,cal!C22*3.412141633,))</f>
        <v>2361.1161116111612</v>
      </c>
      <c r="D22" s="51">
        <f>IF(UnitsNo=1,cal!D22,IF(UnitsNo=2,cal!D22/227.124707,))</f>
        <v>203.01944209898204</v>
      </c>
      <c r="E22" s="67">
        <f>IF(UnitsNo=1,cal!E22,IF(UnitsNo=2,cal!E22*0.334562))</f>
        <v>0.18062712122319843</v>
      </c>
      <c r="F22" s="27">
        <f>IF(UnitsNo=1,cal!F22,IF(UnitsNo=2,cal!F22*3.412141633,))</f>
        <v>508.73087308730868</v>
      </c>
      <c r="G22" s="51">
        <f>IF(UnitsNo=1,cal!G22,IF(UnitsNo=2,cal!G22/227.124707,))</f>
        <v>218.71490674432818</v>
      </c>
      <c r="H22" s="67">
        <f>IF(UnitsNo=1,cal!H22,IF(UnitsNo=2,cal!H22*0.334562))</f>
        <v>0.20963532593713374</v>
      </c>
      <c r="I22" s="27">
        <f>IF(UnitsNo=1,cal!I22,IF(UnitsNo=2,cal!I22/1.69901082,))</f>
        <v>183</v>
      </c>
      <c r="J22" s="29">
        <f>cal!J22</f>
        <v>22.41028567288496</v>
      </c>
      <c r="K22" s="28">
        <f>cal!K22</f>
        <v>11.7</v>
      </c>
    </row>
    <row r="23" spans="2:12" ht="15" customHeight="1" x14ac:dyDescent="0.25">
      <c r="B23" s="27">
        <f>IF(UnitsNo=1,ROUND(cal!B23-IF(cal!$N$9=1,5,0),0),IF(UnitsNo=2,ROUND(cal!B23-IF(cal!$N$9=1,5,0)*0.393700787,1),))</f>
        <v>170</v>
      </c>
      <c r="C23" s="27">
        <f>IF(UnitsNo=1,cal!C23,IF(UnitsNo=2,cal!C23*3.412141633,))</f>
        <v>2754.6354635463549</v>
      </c>
      <c r="D23" s="51">
        <f>IF(UnitsNo=1,cal!D23,IF(UnitsNo=2,cal!D23/227.124707,))</f>
        <v>236.85601578214573</v>
      </c>
      <c r="E23" s="67">
        <f>IF(UnitsNo=1,cal!E23,IF(UnitsNo=2,cal!E23*0.334562))</f>
        <v>0.25044604758875227</v>
      </c>
      <c r="F23" s="27">
        <f>IF(UnitsNo=1,cal!F23,IF(UnitsNo=2,cal!F23*3.412141633,))</f>
        <v>593.51935193519341</v>
      </c>
      <c r="G23" s="51">
        <f>IF(UnitsNo=1,cal!G23,IF(UnitsNo=2,cal!G23/227.124707,))</f>
        <v>255.16739120171616</v>
      </c>
      <c r="H23" s="67">
        <f>IF(UnitsNo=1,cal!H23,IF(UnitsNo=2,cal!H23*0.334562))</f>
        <v>0.29066697437456551</v>
      </c>
      <c r="I23" s="27">
        <f>IF(UnitsNo=1,cal!I23,IF(UnitsNo=2,cal!I23/1.69901082,))</f>
        <v>219</v>
      </c>
      <c r="J23" s="29">
        <f>cal!J23</f>
        <v>23.202098133361211</v>
      </c>
      <c r="K23" s="28">
        <f>cal!K23</f>
        <v>13.7</v>
      </c>
    </row>
    <row r="24" spans="2:12" ht="15" customHeight="1" x14ac:dyDescent="0.25">
      <c r="B24" s="27">
        <f>IF(UnitsNo=1,ROUND(cal!B24-IF(cal!$N$9=1,5,0),0),IF(UnitsNo=2,ROUND(cal!B24-IF(cal!$N$9=1,5,0)*0.393700787,1),))</f>
        <v>190</v>
      </c>
      <c r="C24" s="27">
        <f>IF(UnitsNo=1,cal!C24,IF(UnitsNo=2,cal!C24*3.412141633,))</f>
        <v>3148.1548154815482</v>
      </c>
      <c r="D24" s="51">
        <f>IF(UnitsNo=1,cal!D24,IF(UnitsNo=2,cal!D24/227.124707,))</f>
        <v>270.69258946530937</v>
      </c>
      <c r="E24" s="67">
        <f>IF(UnitsNo=1,cal!E24,IF(UnitsNo=2,cal!E24*0.334562))</f>
        <v>0.33328118125947132</v>
      </c>
      <c r="F24" s="27">
        <f>IF(UnitsNo=1,cal!F24,IF(UnitsNo=2,cal!F24*3.412141633,))</f>
        <v>678.3078307830782</v>
      </c>
      <c r="G24" s="51">
        <f>IF(UnitsNo=1,cal!G24,IF(UnitsNo=2,cal!G24/227.124707,))</f>
        <v>291.6198756591042</v>
      </c>
      <c r="H24" s="67">
        <f>IF(UnitsNo=1,cal!H24,IF(UnitsNo=2,cal!H24*0.334562))</f>
        <v>0.38680519619037657</v>
      </c>
      <c r="I24" s="27">
        <f>IF(UnitsNo=1,cal!I24,IF(UnitsNo=2,cal!I24/1.69901082,))</f>
        <v>256</v>
      </c>
      <c r="J24" s="29">
        <f>cal!J24</f>
        <v>23.871566029667342</v>
      </c>
      <c r="K24" s="28">
        <f>cal!K24</f>
        <v>15.7</v>
      </c>
    </row>
    <row r="25" spans="2:12" ht="15" customHeight="1" x14ac:dyDescent="0.25">
      <c r="B25" s="27">
        <f>IF(UnitsNo=1,ROUND(cal!B25-IF(cal!$N$9=1,5,0),0),IF(UnitsNo=2,ROUND(cal!B25-IF(cal!$N$9=1,5,0)*0.393700787,1),))</f>
        <v>210</v>
      </c>
      <c r="C25" s="27">
        <f>IF(UnitsNo=1,cal!C25,IF(UnitsNo=2,cal!C25*3.412141633,))</f>
        <v>3541.6741674167415</v>
      </c>
      <c r="D25" s="51">
        <f>IF(UnitsNo=1,cal!D25,IF(UnitsNo=2,cal!D25/227.124707,))</f>
        <v>304.529163148473</v>
      </c>
      <c r="E25" s="67">
        <f>IF(UnitsNo=1,cal!E25,IF(UnitsNo=2,cal!E25*0.334562))</f>
        <v>0.42983823184344316</v>
      </c>
      <c r="F25" s="27">
        <f>IF(UnitsNo=1,cal!F25,IF(UnitsNo=2,cal!F25*3.412141633,))</f>
        <v>763.09630963096299</v>
      </c>
      <c r="G25" s="51">
        <f>IF(UnitsNo=1,cal!G25,IF(UnitsNo=2,cal!G25/227.124707,))</f>
        <v>328.07236011649223</v>
      </c>
      <c r="H25" s="67">
        <f>IF(UnitsNo=1,cal!H25,IF(UnitsNo=2,cal!H25*0.334562))</f>
        <v>0.49886903595941545</v>
      </c>
      <c r="I25" s="27">
        <f>IF(UnitsNo=1,cal!I25,IF(UnitsNo=2,cal!I25/1.69901082,))</f>
        <v>293</v>
      </c>
      <c r="J25" s="29">
        <f>cal!J25</f>
        <v>23.871566029667342</v>
      </c>
      <c r="K25" s="28">
        <f>cal!K25</f>
        <v>18</v>
      </c>
    </row>
    <row r="26" spans="2:12" ht="15" customHeight="1" x14ac:dyDescent="0.25">
      <c r="B26" s="27">
        <f>IF(UnitsNo=1,ROUND(cal!B26-IF(cal!$N$9=1,5,0),0),IF(UnitsNo=2,ROUND(cal!B26-IF(cal!$N$9=1,5,0)*0.393700787,1),))</f>
        <v>230</v>
      </c>
      <c r="C26" s="27">
        <f>IF(UnitsNo=1,cal!C26,IF(UnitsNo=2,cal!C26*3.412141633,))</f>
        <v>3935.1935193519353</v>
      </c>
      <c r="D26" s="51">
        <f>IF(UnitsNo=1,cal!D26,IF(UnitsNo=2,cal!D26/227.124707,))</f>
        <v>338.3657368316367</v>
      </c>
      <c r="E26" s="67">
        <f>IF(UnitsNo=1,cal!E26,IF(UnitsNo=2,cal!E26*0.334562))</f>
        <v>0.54086287350992679</v>
      </c>
      <c r="F26" s="27">
        <f>IF(UnitsNo=1,cal!F26,IF(UnitsNo=2,cal!F26*3.412141633,))</f>
        <v>847.88478847884767</v>
      </c>
      <c r="G26" s="51">
        <f>IF(UnitsNo=1,cal!G26,IF(UnitsNo=2,cal!G26/227.124707,))</f>
        <v>364.52484457388022</v>
      </c>
      <c r="H26" s="67">
        <f>IF(UnitsNo=1,cal!H26,IF(UnitsNo=2,cal!H26*0.334562))</f>
        <v>0.6277239210131752</v>
      </c>
      <c r="I26" s="27">
        <f>IF(UnitsNo=1,cal!I26,IF(UnitsNo=2,cal!I26/1.69901082,))</f>
        <v>293</v>
      </c>
      <c r="J26" s="29">
        <f>cal!J26</f>
        <v>24.45148549944421</v>
      </c>
      <c r="K26" s="28">
        <f>cal!K26</f>
        <v>17.7</v>
      </c>
    </row>
    <row r="27" spans="2:12" ht="15" customHeight="1" x14ac:dyDescent="0.25">
      <c r="B27" s="27">
        <f>IF(UnitsNo=1,ROUND(cal!B27-IF(cal!$N$9=1,5,0),0),IF(UnitsNo=2,ROUND(cal!B27-IF(cal!$N$9=1,5,0)*0.393700787,1),))</f>
        <v>250</v>
      </c>
      <c r="C27" s="27">
        <f>IF(UnitsNo=1,cal!C27,IF(UnitsNo=2,cal!C27*3.412141633,))</f>
        <v>4328.712871287129</v>
      </c>
      <c r="D27" s="51">
        <f>IF(UnitsNo=1,cal!D27,IF(UnitsNo=2,cal!D27/227.124707,))</f>
        <v>372.20231051480039</v>
      </c>
      <c r="E27" s="67">
        <f>IF(UnitsNo=1,cal!E27,IF(UnitsNo=2,cal!E27*0.334562))</f>
        <v>0.66714330657374699</v>
      </c>
      <c r="F27" s="27">
        <f>IF(UnitsNo=1,cal!F27,IF(UnitsNo=2,cal!F27*3.412141633,))</f>
        <v>932.67326732673246</v>
      </c>
      <c r="G27" s="51">
        <f>IF(UnitsNo=1,cal!G27,IF(UnitsNo=2,cal!G27/227.124707,))</f>
        <v>400.97732903126825</v>
      </c>
      <c r="H27" s="67">
        <f>IF(UnitsNo=1,cal!H27,IF(UnitsNo=2,cal!H27*0.334562))</f>
        <v>0.77428463440739559</v>
      </c>
      <c r="I27" s="27">
        <f>IF(UnitsNo=1,cal!I27,IF(UnitsNo=2,cal!I27/1.69901082,))</f>
        <v>348</v>
      </c>
      <c r="J27" s="29">
        <f>cal!J27</f>
        <v>24.963010723918025</v>
      </c>
      <c r="K27" s="28">
        <f>cal!K27</f>
        <v>21</v>
      </c>
    </row>
    <row r="28" spans="2:12" ht="15" customHeight="1" x14ac:dyDescent="0.25">
      <c r="B28" s="27">
        <f>IF(UnitsNo=1,ROUND(cal!B28-IF(cal!$N$9=1,5,0),0),IF(UnitsNo=2,ROUND(cal!B28-IF(cal!$N$9=1,5,0)*0.393700787,1),))</f>
        <v>270</v>
      </c>
      <c r="C28" s="27">
        <f>IF(UnitsNo=1,cal!C28,IF(UnitsNo=2,cal!C28*3.412141633,))</f>
        <v>4722.2322232223223</v>
      </c>
      <c r="D28" s="51">
        <f>IF(UnitsNo=1,cal!D28,IF(UnitsNo=2,cal!D28/227.124707,))</f>
        <v>406.03888419796408</v>
      </c>
      <c r="E28" s="67">
        <f>IF(UnitsNo=1,cal!E28,IF(UnitsNo=2,cal!E28*0.334562))</f>
        <v>0.8095130062708813</v>
      </c>
      <c r="F28" s="27">
        <f>IF(UnitsNo=1,cal!F28,IF(UnitsNo=2,cal!F28*3.412141633,))</f>
        <v>1017.4617461746174</v>
      </c>
      <c r="G28" s="51">
        <f>IF(UnitsNo=1,cal!G28,IF(UnitsNo=2,cal!G28/227.124707,))</f>
        <v>437.42981348865635</v>
      </c>
      <c r="H28" s="67">
        <f>IF(UnitsNo=1,cal!H28,IF(UnitsNo=2,cal!H28*0.334562))</f>
        <v>0.93951850514323443</v>
      </c>
      <c r="I28" s="27">
        <f>IF(UnitsNo=1,cal!I28,IF(UnitsNo=2,cal!I28/1.69901082,))</f>
        <v>366</v>
      </c>
      <c r="J28" s="29">
        <f>cal!J28</f>
        <v>25.420585629524773</v>
      </c>
      <c r="K28" s="28">
        <f>cal!K28</f>
        <v>21.7</v>
      </c>
    </row>
    <row r="29" spans="2:12" ht="15" customHeight="1" x14ac:dyDescent="0.25">
      <c r="B29" s="30">
        <f>IF(UnitsNo=1,ROUND(cal!B29-IF(cal!$N$9=1,5,0),0),IF(UnitsNo=2,ROUND(cal!B29-IF(cal!$N$9=1,5,0)*0.393700787,1),))</f>
        <v>290</v>
      </c>
      <c r="C29" s="30">
        <f>IF(UnitsNo=1,cal!C29,IF(UnitsNo=2,cal!C29*3.412141633,))</f>
        <v>5115.7515751575156</v>
      </c>
      <c r="D29" s="52">
        <f>IF(UnitsNo=1,cal!D29,IF(UnitsNo=2,cal!D29/227.124707,))</f>
        <v>439.87545788112772</v>
      </c>
      <c r="E29" s="68">
        <f>IF(UnitsNo=1,cal!E29,IF(UnitsNo=2,cal!E29*0.334562))</f>
        <v>0.96885367422551338</v>
      </c>
      <c r="F29" s="30">
        <f>IF(UnitsNo=1,cal!F29,IF(UnitsNo=2,cal!F29*3.412141633,))</f>
        <v>1102.250225022502</v>
      </c>
      <c r="G29" s="52">
        <f>IF(UnitsNo=1,cal!G29,IF(UnitsNo=2,cal!G29/227.124707,))</f>
        <v>473.88229794604433</v>
      </c>
      <c r="H29" s="68">
        <f>IF(UnitsNo=1,cal!H29,IF(UnitsNo=2,cal!H29*0.334562))</f>
        <v>1.1244488336315777</v>
      </c>
      <c r="I29" s="30">
        <f>IF(UnitsNo=1,cal!I29,IF(UnitsNo=2,cal!I29/1.69901082,))</f>
        <v>403</v>
      </c>
      <c r="J29" s="32">
        <f>cal!J29</f>
        <v>25.834512481107026</v>
      </c>
      <c r="K29" s="31">
        <f>cal!K29</f>
        <v>23.7</v>
      </c>
    </row>
    <row r="30" spans="2:12" ht="10.7" customHeight="1" x14ac:dyDescent="0.25">
      <c r="B30" s="93" t="str">
        <f>cal!B30</f>
        <v>* Sound pressure at an assumed room damping of 8dB (A)</v>
      </c>
      <c r="C30" s="93"/>
      <c r="D30" s="93"/>
      <c r="E30" s="93"/>
      <c r="F30" s="93"/>
      <c r="G30" s="93"/>
      <c r="H30" s="29"/>
      <c r="J30" s="36"/>
      <c r="K30" s="43" t="s">
        <v>205</v>
      </c>
    </row>
    <row r="31" spans="2:12" ht="62.25" customHeight="1" x14ac:dyDescent="0.25">
      <c r="B31" s="93" t="str">
        <f>cal!B31</f>
        <v xml:space="preserve">Attention:
The temperature at which water vapor starts to condense in the ambient air is called the dew point temperature. Condensate can damage both the device and its environment. The device does not switch off when the dew point is reached. The customer should therefore check the dew point temperature and prevent the temperature from dropping below the dew point. Jaga N.V. cannot be held liable for damage caused by condensate.
</v>
      </c>
      <c r="C31" s="93"/>
      <c r="D31" s="93"/>
      <c r="E31" s="93"/>
      <c r="F31" s="93"/>
      <c r="G31" s="93"/>
      <c r="H31" s="93"/>
      <c r="I31" s="93"/>
      <c r="J31" s="93"/>
      <c r="K31" s="93"/>
    </row>
    <row r="32" spans="2:12" ht="9.75" hidden="1" customHeight="1" x14ac:dyDescent="0.25">
      <c r="B32" s="99" t="str">
        <f>cal!B32</f>
        <v>JAGA N.V. • Verbindingslaan 16 • 3590 Diepenbeek Belgium • T +32 (0)11 29 41 11 • F +32 (0)11 32 35 78 • info@jaga.be •  www.jaga.com</v>
      </c>
      <c r="C32" s="99"/>
      <c r="D32" s="99"/>
      <c r="E32" s="99"/>
      <c r="F32" s="99"/>
      <c r="G32" s="99"/>
      <c r="H32" s="99"/>
      <c r="I32" s="99"/>
      <c r="J32" s="99"/>
      <c r="K32" s="99"/>
    </row>
    <row r="33" spans="1:12" ht="14.45" hidden="1" customHeight="1" x14ac:dyDescent="0.25">
      <c r="B33" s="99" t="str">
        <f>cal!B33</f>
        <v>KBC IBAN: BE16 459 250 300 174 BIC:KREDBEBB • ING IBAN: BE97 335 009 564 549 BIC: BBRUBEBB • RPR Hasselt 45.752 • BE0413.382.425</v>
      </c>
      <c r="C33" s="99"/>
      <c r="D33" s="99"/>
      <c r="E33" s="99"/>
      <c r="F33" s="99"/>
      <c r="G33" s="99"/>
      <c r="H33" s="99"/>
      <c r="I33" s="99"/>
      <c r="J33" s="99"/>
      <c r="K33" s="99"/>
    </row>
    <row r="34" spans="1:12" hidden="1" x14ac:dyDescent="0.25">
      <c r="B34" s="47"/>
      <c r="C34" s="47"/>
      <c r="D34" s="47"/>
      <c r="E34" s="47"/>
      <c r="F34" s="47"/>
      <c r="G34" s="47"/>
      <c r="H34" s="47"/>
      <c r="I34" s="47"/>
      <c r="J34" s="47"/>
    </row>
    <row r="35" spans="1:12" hidden="1" x14ac:dyDescent="0.25">
      <c r="B35" s="47"/>
      <c r="C35" s="47"/>
      <c r="D35" s="47"/>
      <c r="E35" s="47"/>
      <c r="F35" s="47"/>
      <c r="G35" s="47"/>
      <c r="H35" s="47"/>
      <c r="I35" s="47"/>
      <c r="J35" s="47"/>
    </row>
    <row r="36" spans="1:12" hidden="1" x14ac:dyDescent="0.25">
      <c r="B36" s="47"/>
      <c r="C36" s="47"/>
      <c r="D36" s="47"/>
      <c r="E36" s="47"/>
      <c r="F36" s="47"/>
      <c r="G36" s="47"/>
      <c r="H36" s="47"/>
      <c r="I36" s="47"/>
      <c r="J36" s="47"/>
    </row>
    <row r="37" spans="1:12" ht="15.95" hidden="1" customHeight="1" x14ac:dyDescent="0.25"/>
    <row r="39" spans="1:12" ht="15" hidden="1" customHeight="1" x14ac:dyDescent="0.25">
      <c r="A39" s="92"/>
      <c r="B39" s="92"/>
      <c r="C39" s="92"/>
      <c r="D39" s="92"/>
      <c r="E39" s="92"/>
      <c r="F39" s="92"/>
      <c r="G39" s="92"/>
      <c r="H39" s="92"/>
      <c r="I39" s="92"/>
      <c r="J39" s="92"/>
      <c r="K39" s="92"/>
      <c r="L39" s="92"/>
    </row>
    <row r="40" spans="1:12" ht="15" hidden="1" customHeight="1" x14ac:dyDescent="0.25">
      <c r="A40" s="92"/>
      <c r="B40" s="92"/>
      <c r="C40" s="92"/>
      <c r="D40" s="92"/>
      <c r="E40" s="92"/>
      <c r="F40" s="92"/>
      <c r="G40" s="92"/>
      <c r="H40" s="92"/>
      <c r="I40" s="92"/>
      <c r="J40" s="92"/>
      <c r="K40" s="92"/>
      <c r="L40" s="92"/>
    </row>
    <row r="41" spans="1:12" ht="15" hidden="1" customHeight="1" x14ac:dyDescent="0.25"/>
    <row r="42" spans="1:12" ht="15" hidden="1" customHeight="1" x14ac:dyDescent="0.25"/>
    <row r="43" spans="1:12" ht="15" hidden="1" customHeight="1" x14ac:dyDescent="0.25"/>
    <row r="44" spans="1:12" ht="15" hidden="1" customHeight="1" x14ac:dyDescent="0.25"/>
    <row r="45" spans="1:12" ht="15" hidden="1" customHeight="1" x14ac:dyDescent="0.25"/>
    <row r="46" spans="1:12" ht="15" hidden="1" customHeight="1" x14ac:dyDescent="0.25"/>
    <row r="47" spans="1:12" ht="15" hidden="1" customHeight="1" x14ac:dyDescent="0.25"/>
    <row r="48" spans="1:12" ht="15" hidden="1" customHeight="1" x14ac:dyDescent="0.25"/>
    <row r="49" ht="15" hidden="1" customHeight="1" x14ac:dyDescent="0.25"/>
  </sheetData>
  <sheetProtection algorithmName="SHA-512" hashValue="/A3tP4oP2HyqM+JdNdJuAYMytbcCbHrgGkpxTLOm2iH9HcrAmwAVy2AvZpdc6ZUANnRO4s92DjVQe+Z1D0rupw==" saltValue="Iy2+I3ozCL6Waecn7UHYCw==" spinCount="100000" sheet="1" selectLockedCells="1"/>
  <dataConsolidate/>
  <mergeCells count="18">
    <mergeCell ref="B2:I2"/>
    <mergeCell ref="F4:I4"/>
    <mergeCell ref="F6:I6"/>
    <mergeCell ref="F7:I7"/>
    <mergeCell ref="J7:K7"/>
    <mergeCell ref="J6:K6"/>
    <mergeCell ref="J4:K4"/>
    <mergeCell ref="A39:L40"/>
    <mergeCell ref="B30:G30"/>
    <mergeCell ref="B5:C5"/>
    <mergeCell ref="B31:K31"/>
    <mergeCell ref="B17:K17"/>
    <mergeCell ref="B32:K32"/>
    <mergeCell ref="B33:K33"/>
    <mergeCell ref="F5:I5"/>
    <mergeCell ref="J5:K5"/>
    <mergeCell ref="J11:K14"/>
    <mergeCell ref="J10:K10"/>
  </mergeCells>
  <pageMargins left="0.25" right="0.25" top="0.75" bottom="0.75" header="0.3" footer="0.3"/>
  <pageSetup paperSize="9" orientation="portrait" r:id="rId1"/>
  <drawing r:id="rId2"/>
  <legacyDrawing r:id="rId3"/>
  <controls>
    <mc:AlternateContent xmlns:mc="http://schemas.openxmlformats.org/markup-compatibility/2006">
      <mc:Choice Requires="x14">
        <control shapeId="2065" r:id="rId4" name="btnCopy">
          <controlPr defaultSize="0" autoLine="0" r:id="rId5">
            <anchor moveWithCells="1">
              <from>
                <xdr:col>1</xdr:col>
                <xdr:colOff>333375</xdr:colOff>
                <xdr:row>3</xdr:row>
                <xdr:rowOff>95250</xdr:rowOff>
              </from>
              <to>
                <xdr:col>4</xdr:col>
                <xdr:colOff>361950</xdr:colOff>
                <xdr:row>5</xdr:row>
                <xdr:rowOff>123825</xdr:rowOff>
              </to>
            </anchor>
          </controlPr>
        </control>
      </mc:Choice>
      <mc:Fallback>
        <control shapeId="2065" r:id="rId4" name="btnCopy"/>
      </mc:Fallback>
    </mc:AlternateContent>
    <mc:AlternateContent xmlns:mc="http://schemas.openxmlformats.org/markup-compatibility/2006">
      <mc:Choice Requires="x14">
        <control shapeId="2055" r:id="rId6" name="rbtnSI">
          <controlPr defaultSize="0" autoFill="0" autoLine="0" r:id="rId7">
            <anchor moveWithCells="1">
              <from>
                <xdr:col>9</xdr:col>
                <xdr:colOff>57150</xdr:colOff>
                <xdr:row>10</xdr:row>
                <xdr:rowOff>66675</xdr:rowOff>
              </from>
              <to>
                <xdr:col>10</xdr:col>
                <xdr:colOff>447675</xdr:colOff>
                <xdr:row>11</xdr:row>
                <xdr:rowOff>161925</xdr:rowOff>
              </to>
            </anchor>
          </controlPr>
        </control>
      </mc:Choice>
      <mc:Fallback>
        <control shapeId="2055" r:id="rId6" name="rbtnSI"/>
      </mc:Fallback>
    </mc:AlternateContent>
    <mc:AlternateContent xmlns:mc="http://schemas.openxmlformats.org/markup-compatibility/2006">
      <mc:Choice Requires="x14">
        <control shapeId="2056" r:id="rId8" name="rbtnImp">
          <controlPr defaultSize="0" autoFill="0" autoLine="0" r:id="rId9">
            <anchor moveWithCells="1">
              <from>
                <xdr:col>9</xdr:col>
                <xdr:colOff>57150</xdr:colOff>
                <xdr:row>11</xdr:row>
                <xdr:rowOff>152400</xdr:rowOff>
              </from>
              <to>
                <xdr:col>10</xdr:col>
                <xdr:colOff>476250</xdr:colOff>
                <xdr:row>13</xdr:row>
                <xdr:rowOff>47625</xdr:rowOff>
              </to>
            </anchor>
          </controlPr>
        </control>
      </mc:Choice>
      <mc:Fallback>
        <control shapeId="2056" r:id="rId8" name="rbtnImp"/>
      </mc:Fallback>
    </mc:AlternateContent>
  </controls>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000-000000000000}">
          <x14:formula1>
            <xm:f>cal!$M$13:$M$14</xm:f>
          </x14:formula1>
          <xm:sqref>J5:K5</xm:sqref>
        </x14:dataValidation>
        <x14:dataValidation type="list" allowBlank="1" showInputMessage="1" showErrorMessage="1" xr:uid="{00000000-0002-0000-0000-000001000000}">
          <x14:formula1>
            <xm:f>cal!$O$13:$O$14</xm:f>
          </x14:formula1>
          <xm:sqref>J7:K7</xm:sqref>
        </x14:dataValidation>
        <x14:dataValidation type="list" allowBlank="1" showInputMessage="1" showErrorMessage="1" xr:uid="{00000000-0002-0000-0000-000002000000}">
          <x14:formula1>
            <xm:f>cal!$L$1:$L$8</xm:f>
          </x14:formula1>
          <xm:sqref>J4:K4</xm:sqref>
        </x14:dataValidation>
        <x14:dataValidation type="list" allowBlank="1" showInputMessage="1" showErrorMessage="1" xr:uid="{00000000-0002-0000-0000-000003000000}">
          <x14:formula1>
            <xm:f>cal!$L$13:$L$15</xm:f>
          </x14:formula1>
          <xm:sqref>J6:K6</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Blad12"/>
  <dimension ref="A1:M40"/>
  <sheetViews>
    <sheetView workbookViewId="0">
      <selection activeCell="J6" sqref="J6:K6"/>
    </sheetView>
  </sheetViews>
  <sheetFormatPr defaultRowHeight="15" x14ac:dyDescent="0.25"/>
  <cols>
    <col min="1" max="1" width="2.28515625" style="12" customWidth="1"/>
    <col min="2" max="8" width="9.7109375" style="12" customWidth="1"/>
    <col min="9" max="9" width="6.7109375" style="12" customWidth="1"/>
    <col min="10" max="10" width="10.7109375" style="12" customWidth="1"/>
    <col min="11" max="11" width="5.7109375" style="12" customWidth="1"/>
    <col min="12" max="12" width="2.28515625" style="12" customWidth="1"/>
    <col min="13" max="16384" width="9.140625" style="11"/>
  </cols>
  <sheetData>
    <row r="1" spans="1:13" x14ac:dyDescent="0.25">
      <c r="D1" s="38"/>
      <c r="E1" s="38"/>
      <c r="F1" s="38"/>
      <c r="G1" s="38"/>
    </row>
    <row r="2" spans="1:13" ht="15" customHeight="1" x14ac:dyDescent="0.25">
      <c r="B2" s="113"/>
      <c r="C2" s="114"/>
      <c r="D2" s="114"/>
      <c r="E2" s="114"/>
      <c r="F2" s="114"/>
      <c r="G2" s="114"/>
      <c r="H2" s="114"/>
      <c r="I2" s="115"/>
    </row>
    <row r="4" spans="1:13" s="1" customFormat="1" x14ac:dyDescent="0.25">
      <c r="A4" s="12"/>
      <c r="B4" s="13"/>
      <c r="C4" s="12"/>
      <c r="F4" s="100" t="s">
        <v>56</v>
      </c>
      <c r="G4" s="101"/>
      <c r="H4" s="101"/>
      <c r="I4" s="102"/>
      <c r="J4" s="103"/>
      <c r="K4" s="104"/>
      <c r="L4" s="12"/>
    </row>
    <row r="5" spans="1:13" s="1" customFormat="1" x14ac:dyDescent="0.25">
      <c r="A5" s="12"/>
      <c r="B5" s="94"/>
      <c r="C5" s="94"/>
      <c r="F5" s="100" t="s">
        <v>151</v>
      </c>
      <c r="G5" s="101"/>
      <c r="H5" s="101"/>
      <c r="I5" s="102"/>
      <c r="J5" s="130"/>
      <c r="K5" s="131"/>
      <c r="L5" s="12"/>
      <c r="M5" s="1" t="s">
        <v>140</v>
      </c>
    </row>
    <row r="6" spans="1:13" s="1" customFormat="1" x14ac:dyDescent="0.25">
      <c r="A6" s="12"/>
      <c r="B6" s="13"/>
      <c r="C6" s="12"/>
      <c r="F6" s="100" t="s">
        <v>149</v>
      </c>
      <c r="G6" s="101"/>
      <c r="H6" s="101"/>
      <c r="I6" s="102"/>
      <c r="J6" s="130"/>
      <c r="K6" s="131"/>
      <c r="L6" s="12"/>
      <c r="M6" s="1" t="s">
        <v>141</v>
      </c>
    </row>
    <row r="7" spans="1:13" s="1" customFormat="1" x14ac:dyDescent="0.25">
      <c r="A7" s="12"/>
      <c r="B7" s="14"/>
      <c r="C7" s="12"/>
      <c r="F7" s="100" t="s">
        <v>152</v>
      </c>
      <c r="G7" s="101"/>
      <c r="H7" s="101"/>
      <c r="I7" s="102"/>
      <c r="J7" s="128"/>
      <c r="K7" s="129"/>
      <c r="L7" s="12"/>
    </row>
    <row r="8" spans="1:13" s="1" customFormat="1" ht="6" customHeight="1" x14ac:dyDescent="0.25">
      <c r="A8" s="12"/>
      <c r="B8" s="15"/>
      <c r="C8" s="16"/>
      <c r="D8" s="16"/>
      <c r="E8" s="16"/>
      <c r="F8" s="16"/>
      <c r="G8" s="16"/>
      <c r="H8" s="18"/>
      <c r="I8" s="18"/>
      <c r="J8" s="16"/>
      <c r="K8" s="39"/>
      <c r="L8" s="12"/>
    </row>
    <row r="9" spans="1:13" s="1" customFormat="1" x14ac:dyDescent="0.25">
      <c r="A9" s="12"/>
      <c r="B9" s="79" t="s">
        <v>153</v>
      </c>
      <c r="C9" s="18"/>
      <c r="D9" s="18"/>
      <c r="E9" s="18"/>
      <c r="F9" s="18"/>
      <c r="G9" s="18"/>
      <c r="H9" s="18"/>
      <c r="I9" s="18"/>
      <c r="J9" s="18"/>
      <c r="K9" s="40"/>
      <c r="L9" s="12"/>
      <c r="M9" s="11" t="s">
        <v>158</v>
      </c>
    </row>
    <row r="10" spans="1:13" s="1" customFormat="1" ht="15.75" thickBot="1" x14ac:dyDescent="0.3">
      <c r="A10" s="12"/>
      <c r="B10" s="79" t="s">
        <v>154</v>
      </c>
      <c r="C10" s="19"/>
      <c r="D10" s="18"/>
      <c r="E10" s="18"/>
      <c r="F10" s="19" t="s">
        <v>187</v>
      </c>
      <c r="G10" s="18"/>
      <c r="H10" s="18"/>
      <c r="I10" s="19"/>
      <c r="J10" s="143" t="s">
        <v>150</v>
      </c>
      <c r="K10" s="144"/>
      <c r="L10" s="12"/>
      <c r="M10" s="11" t="s">
        <v>159</v>
      </c>
    </row>
    <row r="11" spans="1:13" s="1" customFormat="1" ht="15.75" thickTop="1" x14ac:dyDescent="0.25">
      <c r="A11" s="12"/>
      <c r="B11" s="41" t="s">
        <v>155</v>
      </c>
      <c r="C11" s="18"/>
      <c r="D11" s="2"/>
      <c r="E11" s="18" t="str">
        <f>IF(UnitsNo=1,"°C",IF(UnitsNo=2,"°F",))</f>
        <v>°C</v>
      </c>
      <c r="F11" s="18" t="str">
        <f>B11</f>
        <v>Voda na přívodu</v>
      </c>
      <c r="G11" s="18"/>
      <c r="H11" s="2"/>
      <c r="I11" s="42" t="str">
        <f>E11</f>
        <v>°C</v>
      </c>
      <c r="J11" s="122"/>
      <c r="K11" s="123" t="str">
        <f>E11</f>
        <v>°C</v>
      </c>
      <c r="L11" s="12"/>
      <c r="M11" s="11" t="s">
        <v>160</v>
      </c>
    </row>
    <row r="12" spans="1:13" s="1" customFormat="1" x14ac:dyDescent="0.25">
      <c r="A12" s="12"/>
      <c r="B12" s="41" t="s">
        <v>156</v>
      </c>
      <c r="C12" s="18"/>
      <c r="D12" s="2"/>
      <c r="E12" s="18" t="str">
        <f>E11</f>
        <v>°C</v>
      </c>
      <c r="F12" s="18" t="str">
        <f>B12</f>
        <v>Voda na zpátečce</v>
      </c>
      <c r="G12" s="18"/>
      <c r="H12" s="2"/>
      <c r="I12" s="18" t="str">
        <f>E11</f>
        <v>°C</v>
      </c>
      <c r="J12" s="124"/>
      <c r="K12" s="125" t="str">
        <f>E11</f>
        <v>°C</v>
      </c>
      <c r="L12" s="12"/>
    </row>
    <row r="13" spans="1:13" s="1" customFormat="1" x14ac:dyDescent="0.25">
      <c r="A13" s="12"/>
      <c r="B13" s="41" t="s">
        <v>157</v>
      </c>
      <c r="C13" s="18"/>
      <c r="D13" s="2"/>
      <c r="E13" s="18" t="str">
        <f>E11</f>
        <v>°C</v>
      </c>
      <c r="F13" s="18" t="str">
        <f>B13</f>
        <v>Teplota vzduchu</v>
      </c>
      <c r="G13" s="18"/>
      <c r="H13" s="2"/>
      <c r="I13" s="18" t="str">
        <f>E11</f>
        <v>°C</v>
      </c>
      <c r="J13" s="124"/>
      <c r="K13" s="125" t="str">
        <f>E11</f>
        <v>°C</v>
      </c>
      <c r="L13" s="12"/>
    </row>
    <row r="14" spans="1:13" s="1" customFormat="1" ht="14.1" customHeight="1" x14ac:dyDescent="0.25">
      <c r="A14" s="12"/>
      <c r="B14" s="20"/>
      <c r="C14" s="21"/>
      <c r="D14" s="22"/>
      <c r="E14" s="22"/>
      <c r="F14" s="22"/>
      <c r="G14" s="22"/>
      <c r="H14" s="22"/>
      <c r="I14" s="22"/>
      <c r="J14" s="126"/>
      <c r="K14" s="127"/>
      <c r="L14" s="12"/>
    </row>
    <row r="15" spans="1:13" s="1" customFormat="1" ht="6" customHeight="1" x14ac:dyDescent="0.25">
      <c r="A15" s="12"/>
      <c r="B15" s="12"/>
      <c r="C15" s="12"/>
      <c r="D15" s="12"/>
      <c r="E15" s="12"/>
      <c r="F15" s="44"/>
      <c r="G15" s="44"/>
      <c r="H15" s="45"/>
      <c r="I15" s="45"/>
      <c r="J15" s="12"/>
      <c r="K15" s="12"/>
      <c r="L15" s="12"/>
    </row>
    <row r="16" spans="1:13" s="1" customFormat="1" ht="114.95" customHeight="1" x14ac:dyDescent="0.25">
      <c r="A16" s="23"/>
      <c r="B16" s="55" t="str">
        <f>CONCATENATE("Délka ",IF(UnitsNo=1,"[cm]",IF(UnitsNo=2,"[inch]",)))</f>
        <v>Délka [cm]</v>
      </c>
      <c r="C16" s="56" t="str">
        <f>CONCATENATE("Výkon Topení",IF(UnitsNo=1," [W]",IF(UnitsNo=2," [Btu/h]",)))</f>
        <v>Výkon Topení [W]</v>
      </c>
      <c r="D16" s="57" t="str">
        <f>CONCATENATE("Průtok vody, topení",IF(UnitsNo=1," [l/h]",IF(UnitsNo=2," [GPM]",)))</f>
        <v>Průtok vody, topení [l/h]</v>
      </c>
      <c r="E16" s="54" t="str">
        <f>"Tlaková ztráta ["&amp;IF(UnitsNo=1,"kPa","ftH2O")&amp;"]"</f>
        <v>Tlaková ztráta [kPa]</v>
      </c>
      <c r="F16" s="58" t="str">
        <f>CONCATENATE("Výkon chlazení Znatelný",IF(UnitsNo=1," [W]",IF(UnitsNo=2," [Btu/h]",)))</f>
        <v>Výkon chlazení Znatelný [W]</v>
      </c>
      <c r="G16" s="57" t="str">
        <f>CONCATENATE("Průtok vody,chlazen",IF(UnitsNo=1," [l/h]",IF(UnitsNo=2," [GPM]",)))</f>
        <v>Průtok vody,chlazen [l/h]</v>
      </c>
      <c r="H16" s="54" t="str">
        <f>E16</f>
        <v>Tlaková ztráta [kPa]</v>
      </c>
      <c r="I16" s="48" t="str">
        <f>"Průtok vzduchu"&amp;IF(UnitsNo=1," [m³/h]",IF(UnitsNo=2," [CFM]",))</f>
        <v>Průtok vzduchu [m³/h]</v>
      </c>
      <c r="J16" s="49" t="s">
        <v>185</v>
      </c>
      <c r="K16" s="50" t="s">
        <v>186</v>
      </c>
      <c r="L16" s="12"/>
    </row>
    <row r="17" spans="1:12" s="35" customFormat="1" ht="15" customHeight="1" x14ac:dyDescent="0.25">
      <c r="A17" s="12"/>
      <c r="B17" s="95" t="str">
        <f>CONCATENATE("Clima Beam - "," Výška ",cal!H6," šířka ",cal!M15,", typ ",cal!L16)</f>
        <v>Clima Beam -  Výška 15,3 šířka 36, typ 20</v>
      </c>
      <c r="C17" s="96"/>
      <c r="D17" s="96"/>
      <c r="E17" s="96"/>
      <c r="F17" s="96"/>
      <c r="G17" s="96"/>
      <c r="H17" s="96"/>
      <c r="I17" s="97"/>
      <c r="J17" s="97"/>
      <c r="K17" s="98"/>
      <c r="L17" s="12"/>
    </row>
    <row r="18" spans="1:12" s="35" customFormat="1" ht="15" customHeight="1" x14ac:dyDescent="0.25">
      <c r="A18" s="12"/>
      <c r="B18" s="59"/>
      <c r="C18" s="24"/>
      <c r="D18" s="60"/>
      <c r="E18" s="61"/>
      <c r="F18" s="24"/>
      <c r="G18" s="60"/>
      <c r="H18" s="61"/>
      <c r="I18" s="24"/>
      <c r="J18" s="26"/>
      <c r="K18" s="25"/>
      <c r="L18" s="12"/>
    </row>
    <row r="19" spans="1:12" s="1" customFormat="1" ht="15" customHeight="1" x14ac:dyDescent="0.25">
      <c r="A19" s="12"/>
      <c r="B19" s="62"/>
      <c r="C19" s="27"/>
      <c r="D19" s="51"/>
      <c r="E19" s="53"/>
      <c r="F19" s="27"/>
      <c r="G19" s="51"/>
      <c r="H19" s="53"/>
      <c r="I19" s="27"/>
      <c r="J19" s="29"/>
      <c r="K19" s="28"/>
      <c r="L19" s="12"/>
    </row>
    <row r="20" spans="1:12" s="1" customFormat="1" ht="15" customHeight="1" x14ac:dyDescent="0.25">
      <c r="A20" s="12"/>
      <c r="B20" s="62"/>
      <c r="C20" s="27"/>
      <c r="D20" s="51"/>
      <c r="E20" s="53"/>
      <c r="F20" s="27"/>
      <c r="G20" s="51"/>
      <c r="H20" s="53"/>
      <c r="I20" s="27"/>
      <c r="J20" s="29"/>
      <c r="K20" s="28"/>
      <c r="L20" s="12"/>
    </row>
    <row r="21" spans="1:12" s="1" customFormat="1" ht="15" customHeight="1" x14ac:dyDescent="0.25">
      <c r="A21" s="12"/>
      <c r="B21" s="62"/>
      <c r="C21" s="27"/>
      <c r="D21" s="51"/>
      <c r="E21" s="53"/>
      <c r="F21" s="27"/>
      <c r="G21" s="51"/>
      <c r="H21" s="53"/>
      <c r="I21" s="27"/>
      <c r="J21" s="29"/>
      <c r="K21" s="28"/>
      <c r="L21" s="12"/>
    </row>
    <row r="22" spans="1:12" s="1" customFormat="1" ht="15" customHeight="1" x14ac:dyDescent="0.25">
      <c r="A22" s="12"/>
      <c r="B22" s="62"/>
      <c r="C22" s="27"/>
      <c r="D22" s="51"/>
      <c r="E22" s="53"/>
      <c r="F22" s="27"/>
      <c r="G22" s="51"/>
      <c r="H22" s="53"/>
      <c r="I22" s="27"/>
      <c r="J22" s="29"/>
      <c r="K22" s="28"/>
      <c r="L22" s="12"/>
    </row>
    <row r="23" spans="1:12" s="1" customFormat="1" ht="15" customHeight="1" x14ac:dyDescent="0.25">
      <c r="A23" s="12"/>
      <c r="B23" s="62"/>
      <c r="C23" s="27"/>
      <c r="D23" s="51"/>
      <c r="E23" s="53"/>
      <c r="F23" s="27"/>
      <c r="G23" s="51"/>
      <c r="H23" s="53"/>
      <c r="I23" s="27"/>
      <c r="J23" s="29"/>
      <c r="K23" s="28"/>
      <c r="L23" s="12"/>
    </row>
    <row r="24" spans="1:12" s="1" customFormat="1" ht="15" customHeight="1" x14ac:dyDescent="0.25">
      <c r="A24" s="12"/>
      <c r="B24" s="62"/>
      <c r="C24" s="27"/>
      <c r="D24" s="51"/>
      <c r="E24" s="53"/>
      <c r="F24" s="27"/>
      <c r="G24" s="51"/>
      <c r="H24" s="53"/>
      <c r="I24" s="27"/>
      <c r="J24" s="29"/>
      <c r="K24" s="28"/>
      <c r="L24" s="12"/>
    </row>
    <row r="25" spans="1:12" s="1" customFormat="1" ht="15" customHeight="1" x14ac:dyDescent="0.25">
      <c r="A25" s="12"/>
      <c r="B25" s="62"/>
      <c r="C25" s="27"/>
      <c r="D25" s="51"/>
      <c r="E25" s="53"/>
      <c r="F25" s="27"/>
      <c r="G25" s="51"/>
      <c r="H25" s="53"/>
      <c r="I25" s="27"/>
      <c r="J25" s="29"/>
      <c r="K25" s="28"/>
      <c r="L25" s="12"/>
    </row>
    <row r="26" spans="1:12" s="1" customFormat="1" ht="15" customHeight="1" x14ac:dyDescent="0.25">
      <c r="A26" s="12"/>
      <c r="B26" s="62"/>
      <c r="C26" s="27"/>
      <c r="D26" s="51"/>
      <c r="E26" s="53"/>
      <c r="F26" s="27"/>
      <c r="G26" s="51"/>
      <c r="H26" s="53"/>
      <c r="I26" s="27"/>
      <c r="J26" s="29"/>
      <c r="K26" s="28"/>
      <c r="L26" s="12"/>
    </row>
    <row r="27" spans="1:12" s="1" customFormat="1" ht="15" customHeight="1" x14ac:dyDescent="0.25">
      <c r="A27" s="12"/>
      <c r="B27" s="62"/>
      <c r="C27" s="27"/>
      <c r="D27" s="51"/>
      <c r="E27" s="53"/>
      <c r="F27" s="27"/>
      <c r="G27" s="51"/>
      <c r="H27" s="53"/>
      <c r="I27" s="27"/>
      <c r="J27" s="29"/>
      <c r="K27" s="28"/>
      <c r="L27" s="12"/>
    </row>
    <row r="28" spans="1:12" s="1" customFormat="1" ht="15" customHeight="1" x14ac:dyDescent="0.25">
      <c r="A28" s="12"/>
      <c r="B28" s="62"/>
      <c r="C28" s="27"/>
      <c r="D28" s="51"/>
      <c r="E28" s="53"/>
      <c r="F28" s="27"/>
      <c r="G28" s="51"/>
      <c r="H28" s="53"/>
      <c r="I28" s="27"/>
      <c r="J28" s="29"/>
      <c r="K28" s="28"/>
      <c r="L28" s="12"/>
    </row>
    <row r="29" spans="1:12" s="1" customFormat="1" ht="15" customHeight="1" x14ac:dyDescent="0.25">
      <c r="A29" s="12"/>
      <c r="B29" s="63"/>
      <c r="C29" s="30"/>
      <c r="D29" s="52"/>
      <c r="E29" s="64"/>
      <c r="F29" s="30"/>
      <c r="G29" s="52"/>
      <c r="H29" s="64"/>
      <c r="I29" s="30"/>
      <c r="J29" s="32"/>
      <c r="K29" s="31"/>
      <c r="L29" s="12"/>
    </row>
    <row r="30" spans="1:12" s="1" customFormat="1" ht="15" customHeight="1" x14ac:dyDescent="0.25">
      <c r="A30" s="12"/>
      <c r="B30" s="93"/>
      <c r="C30" s="93"/>
      <c r="D30" s="93"/>
      <c r="E30" s="93"/>
      <c r="F30" s="93"/>
      <c r="G30" s="93"/>
      <c r="H30" s="33"/>
      <c r="I30" s="43"/>
      <c r="J30" s="36"/>
      <c r="K30" s="36"/>
      <c r="L30" s="12"/>
    </row>
    <row r="31" spans="1:12" s="1" customFormat="1" ht="16.5" customHeight="1" x14ac:dyDescent="0.25">
      <c r="A31" s="12"/>
      <c r="B31" s="93" t="s">
        <v>147</v>
      </c>
      <c r="C31" s="93"/>
      <c r="D31" s="93"/>
      <c r="E31" s="93"/>
      <c r="F31" s="93"/>
      <c r="G31" s="93"/>
      <c r="H31" s="93"/>
      <c r="I31" s="93"/>
      <c r="J31" s="93"/>
      <c r="K31" s="93"/>
      <c r="L31" s="12"/>
    </row>
    <row r="32" spans="1:12" ht="60.75" customHeight="1" x14ac:dyDescent="0.25">
      <c r="B32" s="93" t="s">
        <v>148</v>
      </c>
      <c r="C32" s="93"/>
      <c r="D32" s="93"/>
      <c r="E32" s="93"/>
      <c r="F32" s="93"/>
      <c r="G32" s="93"/>
      <c r="H32" s="93"/>
      <c r="I32" s="93"/>
      <c r="J32" s="93"/>
      <c r="K32" s="93"/>
    </row>
    <row r="33" spans="1:12" ht="33" customHeight="1" x14ac:dyDescent="0.25">
      <c r="B33" s="92" t="s">
        <v>50</v>
      </c>
      <c r="C33" s="92"/>
      <c r="D33" s="92"/>
      <c r="E33" s="92"/>
      <c r="F33" s="92"/>
      <c r="G33" s="92"/>
      <c r="H33" s="92"/>
      <c r="I33" s="92"/>
      <c r="J33" s="92"/>
      <c r="K33" s="92"/>
    </row>
    <row r="34" spans="1:12" x14ac:dyDescent="0.25">
      <c r="B34" s="47"/>
      <c r="C34" s="47"/>
      <c r="D34" s="47"/>
      <c r="E34" s="47"/>
      <c r="F34" s="47"/>
      <c r="G34" s="47"/>
    </row>
    <row r="35" spans="1:12" x14ac:dyDescent="0.25">
      <c r="B35" s="47"/>
      <c r="C35" s="47"/>
      <c r="D35" s="47"/>
      <c r="E35" s="47"/>
      <c r="F35" s="47"/>
      <c r="G35" s="47"/>
    </row>
    <row r="36" spans="1:12" x14ac:dyDescent="0.25">
      <c r="B36" s="47"/>
      <c r="C36" s="47"/>
      <c r="D36" s="47"/>
      <c r="E36" s="47"/>
      <c r="F36" s="47"/>
      <c r="G36" s="47"/>
    </row>
    <row r="39" spans="1:12" x14ac:dyDescent="0.25">
      <c r="A39" s="69"/>
      <c r="B39" s="69"/>
      <c r="C39" s="69"/>
      <c r="D39" s="69"/>
      <c r="E39" s="69"/>
      <c r="F39" s="69"/>
      <c r="G39" s="69"/>
      <c r="H39" s="69"/>
      <c r="I39" s="69"/>
      <c r="J39" s="69"/>
      <c r="K39" s="69"/>
      <c r="L39" s="69"/>
    </row>
    <row r="40" spans="1:12" ht="15" customHeight="1" x14ac:dyDescent="0.25">
      <c r="A40" s="69"/>
      <c r="B40" s="69"/>
      <c r="C40" s="69"/>
      <c r="D40" s="69"/>
      <c r="E40" s="69"/>
      <c r="F40" s="69"/>
      <c r="G40" s="69"/>
      <c r="H40" s="69"/>
      <c r="I40" s="69"/>
      <c r="J40" s="69"/>
      <c r="K40" s="69"/>
      <c r="L40" s="69"/>
    </row>
  </sheetData>
  <mergeCells count="17">
    <mergeCell ref="B17:K17"/>
    <mergeCell ref="B30:G30"/>
    <mergeCell ref="B31:K31"/>
    <mergeCell ref="B32:K32"/>
    <mergeCell ref="B33:K33"/>
    <mergeCell ref="J11:K14"/>
    <mergeCell ref="B2:I2"/>
    <mergeCell ref="F4:I4"/>
    <mergeCell ref="J4:K4"/>
    <mergeCell ref="B5:C5"/>
    <mergeCell ref="F5:I5"/>
    <mergeCell ref="J5:K5"/>
    <mergeCell ref="F6:I6"/>
    <mergeCell ref="J6:K6"/>
    <mergeCell ref="F7:I7"/>
    <mergeCell ref="J7:K7"/>
    <mergeCell ref="J10:K10"/>
  </mergeCells>
  <dataValidations count="2">
    <dataValidation type="whole" errorStyle="information" allowBlank="1" showErrorMessage="1" error="Eingabe außerhalb des gültigen Bereichs." prompt="20°C bis 35°C" sqref="F11:F13" xr:uid="{00000000-0002-0000-0900-000000000000}">
      <formula1>20</formula1>
      <formula2>35</formula2>
    </dataValidation>
    <dataValidation type="whole" errorStyle="information" allowBlank="1" showErrorMessage="1" error="Eingabe außerhalb des gültigen Bereichs." prompt="Eingabe zwischen 16°C bis 30°C" sqref="J11:J13" xr:uid="{00000000-0002-0000-0900-000001000000}">
      <formula1>16</formula1>
      <formula2>30</formula2>
    </dataValidation>
  </dataValidation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Blad13"/>
  <dimension ref="A1:M40"/>
  <sheetViews>
    <sheetView workbookViewId="0">
      <selection activeCell="J6" sqref="J6:K6"/>
    </sheetView>
  </sheetViews>
  <sheetFormatPr defaultRowHeight="15" x14ac:dyDescent="0.25"/>
  <cols>
    <col min="1" max="1" width="2.28515625" style="12" customWidth="1"/>
    <col min="2" max="8" width="9.7109375" style="12" customWidth="1"/>
    <col min="9" max="9" width="6.7109375" style="12" customWidth="1"/>
    <col min="10" max="10" width="10.7109375" style="12" customWidth="1"/>
    <col min="11" max="11" width="5.7109375" style="12" customWidth="1"/>
    <col min="12" max="12" width="2.28515625" style="12" customWidth="1"/>
    <col min="13" max="16384" width="9.140625" style="11"/>
  </cols>
  <sheetData>
    <row r="1" spans="1:13" x14ac:dyDescent="0.25">
      <c r="D1" s="38"/>
      <c r="E1" s="38"/>
      <c r="F1" s="38"/>
      <c r="G1" s="38"/>
    </row>
    <row r="2" spans="1:13" ht="15" customHeight="1" x14ac:dyDescent="0.25">
      <c r="B2" s="113"/>
      <c r="C2" s="114"/>
      <c r="D2" s="114"/>
      <c r="E2" s="114"/>
      <c r="F2" s="114"/>
      <c r="G2" s="114"/>
      <c r="H2" s="114"/>
      <c r="I2" s="115"/>
    </row>
    <row r="4" spans="1:13" s="1" customFormat="1" x14ac:dyDescent="0.25">
      <c r="A4" s="12"/>
      <c r="B4" s="13"/>
      <c r="C4" s="12"/>
      <c r="F4" s="100" t="s">
        <v>56</v>
      </c>
      <c r="G4" s="101"/>
      <c r="H4" s="101"/>
      <c r="I4" s="102"/>
      <c r="J4" s="103"/>
      <c r="K4" s="104"/>
      <c r="L4" s="12"/>
    </row>
    <row r="5" spans="1:13" s="1" customFormat="1" x14ac:dyDescent="0.25">
      <c r="A5" s="12"/>
      <c r="B5" s="94"/>
      <c r="C5" s="94"/>
      <c r="F5" s="100" t="s">
        <v>75</v>
      </c>
      <c r="G5" s="101"/>
      <c r="H5" s="101"/>
      <c r="I5" s="102"/>
      <c r="J5" s="130"/>
      <c r="K5" s="131"/>
      <c r="L5" s="12"/>
      <c r="M5" s="1" t="s">
        <v>36</v>
      </c>
    </row>
    <row r="6" spans="1:13" s="1" customFormat="1" x14ac:dyDescent="0.25">
      <c r="A6" s="12"/>
      <c r="B6" s="13"/>
      <c r="C6" s="12"/>
      <c r="F6" s="100" t="s">
        <v>76</v>
      </c>
      <c r="G6" s="101"/>
      <c r="H6" s="101"/>
      <c r="I6" s="102"/>
      <c r="J6" s="130"/>
      <c r="K6" s="131"/>
      <c r="L6" s="12"/>
      <c r="M6" s="1" t="s">
        <v>26</v>
      </c>
    </row>
    <row r="7" spans="1:13" s="1" customFormat="1" x14ac:dyDescent="0.25">
      <c r="A7" s="12"/>
      <c r="B7" s="14"/>
      <c r="C7" s="12"/>
      <c r="F7" s="100" t="s">
        <v>77</v>
      </c>
      <c r="G7" s="101"/>
      <c r="H7" s="101"/>
      <c r="I7" s="102"/>
      <c r="J7" s="128"/>
      <c r="K7" s="129"/>
      <c r="L7" s="12"/>
    </row>
    <row r="8" spans="1:13" s="1" customFormat="1" ht="6" customHeight="1" x14ac:dyDescent="0.25">
      <c r="A8" s="12"/>
      <c r="B8" s="15"/>
      <c r="C8" s="16"/>
      <c r="D8" s="16"/>
      <c r="E8" s="16"/>
      <c r="F8" s="16"/>
      <c r="G8" s="16"/>
      <c r="H8" s="18"/>
      <c r="I8" s="18"/>
      <c r="J8" s="16"/>
      <c r="K8" s="39"/>
      <c r="L8" s="12"/>
    </row>
    <row r="9" spans="1:13" s="1" customFormat="1" x14ac:dyDescent="0.25">
      <c r="A9" s="12"/>
      <c r="B9" s="17" t="s">
        <v>32</v>
      </c>
      <c r="C9" s="18"/>
      <c r="D9" s="18"/>
      <c r="E9" s="18"/>
      <c r="F9" s="18"/>
      <c r="G9" s="18"/>
      <c r="H9" s="18"/>
      <c r="I9" s="18"/>
      <c r="J9" s="18"/>
      <c r="K9" s="40"/>
      <c r="L9" s="12"/>
    </row>
    <row r="10" spans="1:13" s="1" customFormat="1" ht="15.75" thickBot="1" x14ac:dyDescent="0.3">
      <c r="A10" s="12"/>
      <c r="B10" s="17" t="s">
        <v>34</v>
      </c>
      <c r="C10" s="19"/>
      <c r="D10" s="18"/>
      <c r="E10" s="18"/>
      <c r="F10" s="19" t="s">
        <v>33</v>
      </c>
      <c r="G10" s="18"/>
      <c r="H10" s="18"/>
      <c r="I10" s="19"/>
      <c r="J10" s="143" t="s">
        <v>78</v>
      </c>
      <c r="K10" s="144"/>
      <c r="L10" s="12"/>
    </row>
    <row r="11" spans="1:13" s="1" customFormat="1" ht="15.75" thickTop="1" x14ac:dyDescent="0.25">
      <c r="A11" s="12"/>
      <c r="B11" s="41" t="s">
        <v>72</v>
      </c>
      <c r="C11" s="18"/>
      <c r="D11" s="2"/>
      <c r="E11" s="18" t="str">
        <f>IF(UnitsNo=1,"°C",IF(UnitsNo=2,"°F",))</f>
        <v>°C</v>
      </c>
      <c r="F11" s="18" t="str">
        <f>B11</f>
        <v>Supply water</v>
      </c>
      <c r="G11" s="18"/>
      <c r="H11" s="2"/>
      <c r="I11" s="42" t="str">
        <f>E11</f>
        <v>°C</v>
      </c>
      <c r="J11" s="122"/>
      <c r="K11" s="123" t="str">
        <f>E11</f>
        <v>°C</v>
      </c>
      <c r="L11" s="12"/>
    </row>
    <row r="12" spans="1:13" s="1" customFormat="1" x14ac:dyDescent="0.25">
      <c r="A12" s="12"/>
      <c r="B12" s="41" t="s">
        <v>73</v>
      </c>
      <c r="C12" s="18"/>
      <c r="D12" s="2"/>
      <c r="E12" s="18" t="str">
        <f>E11</f>
        <v>°C</v>
      </c>
      <c r="F12" s="18" t="str">
        <f>B12</f>
        <v>Return water</v>
      </c>
      <c r="G12" s="18"/>
      <c r="H12" s="2"/>
      <c r="I12" s="18" t="str">
        <f>E11</f>
        <v>°C</v>
      </c>
      <c r="J12" s="124"/>
      <c r="K12" s="125" t="str">
        <f>E11</f>
        <v>°C</v>
      </c>
      <c r="L12" s="12"/>
    </row>
    <row r="13" spans="1:13" s="1" customFormat="1" x14ac:dyDescent="0.25">
      <c r="A13" s="12"/>
      <c r="B13" s="41" t="s">
        <v>74</v>
      </c>
      <c r="C13" s="18"/>
      <c r="D13" s="2"/>
      <c r="E13" s="18" t="str">
        <f>E11</f>
        <v>°C</v>
      </c>
      <c r="F13" s="18" t="str">
        <f>B13</f>
        <v>Entering air</v>
      </c>
      <c r="G13" s="18"/>
      <c r="H13" s="2"/>
      <c r="I13" s="18" t="str">
        <f>E11</f>
        <v>°C</v>
      </c>
      <c r="J13" s="124"/>
      <c r="K13" s="125" t="str">
        <f>E11</f>
        <v>°C</v>
      </c>
      <c r="L13" s="12"/>
    </row>
    <row r="14" spans="1:13" s="1" customFormat="1" ht="14.1" customHeight="1" x14ac:dyDescent="0.25">
      <c r="A14" s="12"/>
      <c r="B14" s="20"/>
      <c r="C14" s="21"/>
      <c r="D14" s="22"/>
      <c r="E14" s="22"/>
      <c r="F14" s="22"/>
      <c r="G14" s="22"/>
      <c r="H14" s="22"/>
      <c r="I14" s="22"/>
      <c r="J14" s="126"/>
      <c r="K14" s="127"/>
      <c r="L14" s="12"/>
    </row>
    <row r="15" spans="1:13" s="1" customFormat="1" ht="6" customHeight="1" x14ac:dyDescent="0.25">
      <c r="A15" s="12"/>
      <c r="B15" s="12"/>
      <c r="C15" s="12"/>
      <c r="D15" s="12"/>
      <c r="E15" s="12"/>
      <c r="F15" s="44"/>
      <c r="G15" s="44"/>
      <c r="H15" s="45"/>
      <c r="I15" s="45"/>
      <c r="J15" s="12"/>
      <c r="K15" s="12"/>
      <c r="L15" s="12"/>
    </row>
    <row r="16" spans="1:13" s="1" customFormat="1" ht="114.95" customHeight="1" x14ac:dyDescent="0.25">
      <c r="A16" s="23"/>
      <c r="B16" s="55" t="str">
        <f>CONCATENATE("Length ",IF(UnitsNo=1,"[cm]",IF(UnitsNo=2,"[inch]",)))</f>
        <v>Length [cm]</v>
      </c>
      <c r="C16" s="56" t="str">
        <f>CONCATENATE("Heating capacity in",IF(UnitsNo=1," [W]",IF(UnitsNo=2," [Btu/h]",)))</f>
        <v>Heating capacity in [W]</v>
      </c>
      <c r="D16" s="57" t="str">
        <f>CONCATENATE("Water flowrate, heating in",IF(UnitsNo=1," [l/h]",IF(UnitsNo=2," [GPM]",)))</f>
        <v>Water flowrate, heating in [l/h]</v>
      </c>
      <c r="E16" s="54" t="str">
        <f>"Water side pressure loss ["&amp;IF(UnitsNo=1,"kPa","ftH2O")&amp;"]"</f>
        <v>Water side pressure loss [kPa]</v>
      </c>
      <c r="F16" s="58" t="str">
        <f>CONCATENATE("Sens. cooling capacity in",IF(UnitsNo=1," [W]",IF(UnitsNo=2," [Btu/h]",)))</f>
        <v>Sens. cooling capacity in [W]</v>
      </c>
      <c r="G16" s="57" t="str">
        <f>CONCATENATE("Water flowrate, cooling in",IF(UnitsNo=1," [l/h]",IF(UnitsNo=2," [GPM]",)))</f>
        <v>Water flowrate, cooling in [l/h]</v>
      </c>
      <c r="H16" s="54" t="str">
        <f>E16</f>
        <v>Water side pressure loss [kPa]</v>
      </c>
      <c r="I16" s="48" t="str">
        <f>"Air flowrate"&amp;IF(UnitsNo=1," [m³/h]",IF(UnitsNo=2," [CFM]",))</f>
        <v>Air flowrate [m³/h]</v>
      </c>
      <c r="J16" s="49" t="s">
        <v>37</v>
      </c>
      <c r="K16" s="50" t="s">
        <v>142</v>
      </c>
      <c r="L16" s="12"/>
    </row>
    <row r="17" spans="1:12" s="35" customFormat="1" ht="15" customHeight="1" x14ac:dyDescent="0.25">
      <c r="A17" s="12"/>
      <c r="B17" s="95" t="str">
        <f>CONCATENATE("Clima Beam - "," H",cal!H6," B",cal!M15," Type ",cal!L16)</f>
        <v>Clima Beam -  H15,3 B36 Type 20</v>
      </c>
      <c r="C17" s="96"/>
      <c r="D17" s="96"/>
      <c r="E17" s="96"/>
      <c r="F17" s="96"/>
      <c r="G17" s="96"/>
      <c r="H17" s="96"/>
      <c r="I17" s="97"/>
      <c r="J17" s="97"/>
      <c r="K17" s="98"/>
      <c r="L17" s="12"/>
    </row>
    <row r="18" spans="1:12" s="35" customFormat="1" ht="15" customHeight="1" x14ac:dyDescent="0.25">
      <c r="A18" s="12"/>
      <c r="B18" s="59"/>
      <c r="C18" s="24"/>
      <c r="D18" s="60"/>
      <c r="E18" s="61"/>
      <c r="F18" s="24"/>
      <c r="G18" s="60"/>
      <c r="H18" s="61"/>
      <c r="I18" s="24"/>
      <c r="J18" s="26"/>
      <c r="K18" s="25"/>
      <c r="L18" s="12"/>
    </row>
    <row r="19" spans="1:12" s="1" customFormat="1" ht="15" customHeight="1" x14ac:dyDescent="0.25">
      <c r="A19" s="12"/>
      <c r="B19" s="62"/>
      <c r="C19" s="27"/>
      <c r="D19" s="51"/>
      <c r="E19" s="53"/>
      <c r="F19" s="27"/>
      <c r="G19" s="51"/>
      <c r="H19" s="53"/>
      <c r="I19" s="27"/>
      <c r="J19" s="29"/>
      <c r="K19" s="28"/>
      <c r="L19" s="12"/>
    </row>
    <row r="20" spans="1:12" s="1" customFormat="1" ht="15" customHeight="1" x14ac:dyDescent="0.25">
      <c r="A20" s="12"/>
      <c r="B20" s="62"/>
      <c r="C20" s="27"/>
      <c r="D20" s="51"/>
      <c r="E20" s="53"/>
      <c r="F20" s="27"/>
      <c r="G20" s="51"/>
      <c r="H20" s="53"/>
      <c r="I20" s="27"/>
      <c r="J20" s="29"/>
      <c r="K20" s="28"/>
      <c r="L20" s="12"/>
    </row>
    <row r="21" spans="1:12" s="1" customFormat="1" ht="15" customHeight="1" x14ac:dyDescent="0.25">
      <c r="A21" s="12"/>
      <c r="B21" s="62"/>
      <c r="C21" s="27"/>
      <c r="D21" s="51"/>
      <c r="E21" s="53"/>
      <c r="F21" s="27"/>
      <c r="G21" s="51"/>
      <c r="H21" s="53"/>
      <c r="I21" s="27"/>
      <c r="J21" s="29"/>
      <c r="K21" s="28"/>
      <c r="L21" s="12"/>
    </row>
    <row r="22" spans="1:12" s="1" customFormat="1" ht="15" customHeight="1" x14ac:dyDescent="0.25">
      <c r="A22" s="12"/>
      <c r="B22" s="62"/>
      <c r="C22" s="27"/>
      <c r="D22" s="51"/>
      <c r="E22" s="53"/>
      <c r="F22" s="27"/>
      <c r="G22" s="51"/>
      <c r="H22" s="53"/>
      <c r="I22" s="27"/>
      <c r="J22" s="29"/>
      <c r="K22" s="28"/>
      <c r="L22" s="12"/>
    </row>
    <row r="23" spans="1:12" s="1" customFormat="1" ht="15" customHeight="1" x14ac:dyDescent="0.25">
      <c r="A23" s="12"/>
      <c r="B23" s="62"/>
      <c r="C23" s="27"/>
      <c r="D23" s="51"/>
      <c r="E23" s="53"/>
      <c r="F23" s="27"/>
      <c r="G23" s="51"/>
      <c r="H23" s="53"/>
      <c r="I23" s="27"/>
      <c r="J23" s="29"/>
      <c r="K23" s="28"/>
      <c r="L23" s="12"/>
    </row>
    <row r="24" spans="1:12" s="1" customFormat="1" ht="15" customHeight="1" x14ac:dyDescent="0.25">
      <c r="A24" s="12"/>
      <c r="B24" s="62"/>
      <c r="C24" s="27"/>
      <c r="D24" s="51"/>
      <c r="E24" s="53"/>
      <c r="F24" s="27"/>
      <c r="G24" s="51"/>
      <c r="H24" s="53"/>
      <c r="I24" s="27"/>
      <c r="J24" s="29"/>
      <c r="K24" s="28"/>
      <c r="L24" s="12"/>
    </row>
    <row r="25" spans="1:12" s="1" customFormat="1" ht="15" customHeight="1" x14ac:dyDescent="0.25">
      <c r="A25" s="12"/>
      <c r="B25" s="62"/>
      <c r="C25" s="27"/>
      <c r="D25" s="51"/>
      <c r="E25" s="53"/>
      <c r="F25" s="27"/>
      <c r="G25" s="51"/>
      <c r="H25" s="53"/>
      <c r="I25" s="27"/>
      <c r="J25" s="29"/>
      <c r="K25" s="28"/>
      <c r="L25" s="12"/>
    </row>
    <row r="26" spans="1:12" s="1" customFormat="1" ht="15" customHeight="1" x14ac:dyDescent="0.25">
      <c r="A26" s="12"/>
      <c r="B26" s="62"/>
      <c r="C26" s="27"/>
      <c r="D26" s="51"/>
      <c r="E26" s="53"/>
      <c r="F26" s="27"/>
      <c r="G26" s="51"/>
      <c r="H26" s="53"/>
      <c r="I26" s="27"/>
      <c r="J26" s="29"/>
      <c r="K26" s="28"/>
      <c r="L26" s="12"/>
    </row>
    <row r="27" spans="1:12" s="1" customFormat="1" ht="15" customHeight="1" x14ac:dyDescent="0.25">
      <c r="A27" s="12"/>
      <c r="B27" s="62"/>
      <c r="C27" s="27"/>
      <c r="D27" s="51"/>
      <c r="E27" s="53"/>
      <c r="F27" s="27"/>
      <c r="G27" s="51"/>
      <c r="H27" s="53"/>
      <c r="I27" s="27"/>
      <c r="J27" s="29"/>
      <c r="K27" s="28"/>
      <c r="L27" s="12"/>
    </row>
    <row r="28" spans="1:12" s="1" customFormat="1" ht="15" customHeight="1" x14ac:dyDescent="0.25">
      <c r="A28" s="12"/>
      <c r="B28" s="62"/>
      <c r="C28" s="27"/>
      <c r="D28" s="51"/>
      <c r="E28" s="53"/>
      <c r="F28" s="27"/>
      <c r="G28" s="51"/>
      <c r="H28" s="53"/>
      <c r="I28" s="27"/>
      <c r="J28" s="29"/>
      <c r="K28" s="28"/>
      <c r="L28" s="12"/>
    </row>
    <row r="29" spans="1:12" s="1" customFormat="1" ht="15" customHeight="1" x14ac:dyDescent="0.25">
      <c r="A29" s="12"/>
      <c r="B29" s="63"/>
      <c r="C29" s="30"/>
      <c r="D29" s="52"/>
      <c r="E29" s="64"/>
      <c r="F29" s="30"/>
      <c r="G29" s="52"/>
      <c r="H29" s="64"/>
      <c r="I29" s="30"/>
      <c r="J29" s="32"/>
      <c r="K29" s="31"/>
      <c r="L29" s="12"/>
    </row>
    <row r="30" spans="1:12" s="1" customFormat="1" ht="15" customHeight="1" x14ac:dyDescent="0.25">
      <c r="A30" s="12"/>
      <c r="B30" s="93"/>
      <c r="C30" s="93"/>
      <c r="D30" s="93"/>
      <c r="E30" s="93"/>
      <c r="F30" s="93"/>
      <c r="G30" s="93"/>
      <c r="H30" s="33"/>
      <c r="I30" s="43"/>
      <c r="J30" s="36"/>
      <c r="K30" s="36"/>
      <c r="L30" s="12"/>
    </row>
    <row r="31" spans="1:12" s="1" customFormat="1" ht="16.5" customHeight="1" x14ac:dyDescent="0.25">
      <c r="A31" s="12"/>
      <c r="B31" s="93" t="s">
        <v>118</v>
      </c>
      <c r="C31" s="93"/>
      <c r="D31" s="93"/>
      <c r="E31" s="93"/>
      <c r="F31" s="93"/>
      <c r="G31" s="93"/>
      <c r="H31" s="93"/>
      <c r="I31" s="93"/>
      <c r="J31" s="93"/>
      <c r="K31" s="93"/>
      <c r="L31" s="12"/>
    </row>
    <row r="32" spans="1:12" ht="60.75" customHeight="1" x14ac:dyDescent="0.25">
      <c r="B32" s="93" t="s">
        <v>123</v>
      </c>
      <c r="C32" s="93"/>
      <c r="D32" s="93"/>
      <c r="E32" s="93"/>
      <c r="F32" s="93"/>
      <c r="G32" s="93"/>
      <c r="H32" s="93"/>
      <c r="I32" s="93"/>
      <c r="J32" s="93"/>
      <c r="K32" s="93"/>
    </row>
    <row r="33" spans="1:12" ht="33" customHeight="1" x14ac:dyDescent="0.25">
      <c r="B33" s="92" t="s">
        <v>50</v>
      </c>
      <c r="C33" s="92"/>
      <c r="D33" s="92"/>
      <c r="E33" s="92"/>
      <c r="F33" s="92"/>
      <c r="G33" s="92"/>
      <c r="H33" s="92"/>
      <c r="I33" s="92"/>
      <c r="J33" s="92"/>
      <c r="K33" s="92"/>
    </row>
    <row r="34" spans="1:12" x14ac:dyDescent="0.25">
      <c r="B34" s="47"/>
      <c r="C34" s="47"/>
      <c r="D34" s="47"/>
      <c r="E34" s="47"/>
      <c r="F34" s="47"/>
      <c r="G34" s="47"/>
    </row>
    <row r="35" spans="1:12" x14ac:dyDescent="0.25">
      <c r="B35" s="47"/>
      <c r="C35" s="47"/>
      <c r="D35" s="47"/>
      <c r="E35" s="47"/>
      <c r="F35" s="47"/>
      <c r="G35" s="47"/>
    </row>
    <row r="36" spans="1:12" x14ac:dyDescent="0.25">
      <c r="B36" s="47"/>
      <c r="C36" s="47"/>
      <c r="D36" s="47"/>
      <c r="E36" s="47"/>
      <c r="F36" s="47"/>
      <c r="G36" s="47"/>
    </row>
    <row r="39" spans="1:12" x14ac:dyDescent="0.25">
      <c r="A39" s="69"/>
      <c r="B39" s="69"/>
      <c r="C39" s="69"/>
      <c r="D39" s="69"/>
      <c r="E39" s="69"/>
      <c r="F39" s="69"/>
      <c r="G39" s="69"/>
      <c r="H39" s="69"/>
      <c r="I39" s="69"/>
      <c r="J39" s="69"/>
      <c r="K39" s="69"/>
      <c r="L39" s="69"/>
    </row>
    <row r="40" spans="1:12" ht="15" customHeight="1" x14ac:dyDescent="0.25">
      <c r="A40" s="69"/>
      <c r="B40" s="69"/>
      <c r="C40" s="69"/>
      <c r="D40" s="69"/>
      <c r="E40" s="69"/>
      <c r="F40" s="69"/>
      <c r="G40" s="69"/>
      <c r="H40" s="69"/>
      <c r="I40" s="69"/>
      <c r="J40" s="69"/>
      <c r="K40" s="69"/>
      <c r="L40" s="69"/>
    </row>
  </sheetData>
  <mergeCells count="17">
    <mergeCell ref="B17:K17"/>
    <mergeCell ref="B30:G30"/>
    <mergeCell ref="B31:K31"/>
    <mergeCell ref="B32:K32"/>
    <mergeCell ref="B33:K33"/>
    <mergeCell ref="J11:K14"/>
    <mergeCell ref="B2:I2"/>
    <mergeCell ref="F4:I4"/>
    <mergeCell ref="J4:K4"/>
    <mergeCell ref="B5:C5"/>
    <mergeCell ref="F5:I5"/>
    <mergeCell ref="J5:K5"/>
    <mergeCell ref="F6:I6"/>
    <mergeCell ref="J6:K6"/>
    <mergeCell ref="F7:I7"/>
    <mergeCell ref="J7:K7"/>
    <mergeCell ref="J10:K10"/>
  </mergeCells>
  <dataValidations count="2">
    <dataValidation type="whole" errorStyle="information" allowBlank="1" showErrorMessage="1" error="Eingabe außerhalb des gültigen Bereichs." prompt="Eingabe zwischen 16°C bis 30°C" sqref="J11:J13" xr:uid="{00000000-0002-0000-0A00-000000000000}">
      <formula1>16</formula1>
      <formula2>30</formula2>
    </dataValidation>
    <dataValidation type="whole" errorStyle="information" allowBlank="1" showErrorMessage="1" error="Eingabe außerhalb des gültigen Bereichs." prompt="20°C bis 35°C" sqref="F11:F13" xr:uid="{00000000-0002-0000-0A00-000001000000}">
      <formula1>20</formula1>
      <formula2>35</formula2>
    </dataValidation>
  </dataValidation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Blad14"/>
  <dimension ref="A1:M40"/>
  <sheetViews>
    <sheetView workbookViewId="0">
      <selection activeCell="J6" sqref="J6:K6"/>
    </sheetView>
  </sheetViews>
  <sheetFormatPr defaultRowHeight="15" x14ac:dyDescent="0.25"/>
  <cols>
    <col min="1" max="1" width="2.28515625" style="12" customWidth="1"/>
    <col min="2" max="8" width="9.7109375" style="12" customWidth="1"/>
    <col min="9" max="9" width="6.7109375" style="12" customWidth="1"/>
    <col min="10" max="10" width="10.7109375" style="12" customWidth="1"/>
    <col min="11" max="11" width="5.7109375" style="12" customWidth="1"/>
    <col min="12" max="12" width="2.28515625" style="12" customWidth="1"/>
    <col min="13" max="16384" width="9.140625" style="11"/>
  </cols>
  <sheetData>
    <row r="1" spans="1:13" x14ac:dyDescent="0.25">
      <c r="D1" s="38"/>
      <c r="E1" s="38"/>
      <c r="F1" s="38"/>
      <c r="G1" s="38"/>
    </row>
    <row r="2" spans="1:13" ht="15" customHeight="1" x14ac:dyDescent="0.25">
      <c r="B2" s="113"/>
      <c r="C2" s="114"/>
      <c r="D2" s="114"/>
      <c r="E2" s="114"/>
      <c r="F2" s="114"/>
      <c r="G2" s="114"/>
      <c r="H2" s="114"/>
      <c r="I2" s="115"/>
    </row>
    <row r="4" spans="1:13" s="1" customFormat="1" x14ac:dyDescent="0.25">
      <c r="A4" s="12"/>
      <c r="B4" s="13"/>
      <c r="C4" s="12"/>
      <c r="F4" s="100" t="s">
        <v>56</v>
      </c>
      <c r="G4" s="101"/>
      <c r="H4" s="101"/>
      <c r="I4" s="102"/>
      <c r="J4" s="103"/>
      <c r="K4" s="104"/>
      <c r="L4" s="12"/>
    </row>
    <row r="5" spans="1:13" s="1" customFormat="1" x14ac:dyDescent="0.25">
      <c r="A5" s="12"/>
      <c r="B5" s="94"/>
      <c r="C5" s="94"/>
      <c r="F5" s="100" t="s">
        <v>75</v>
      </c>
      <c r="G5" s="101"/>
      <c r="H5" s="101"/>
      <c r="I5" s="102"/>
      <c r="J5" s="130"/>
      <c r="K5" s="131"/>
      <c r="L5" s="12"/>
      <c r="M5" s="1" t="s">
        <v>36</v>
      </c>
    </row>
    <row r="6" spans="1:13" s="1" customFormat="1" x14ac:dyDescent="0.25">
      <c r="A6" s="12"/>
      <c r="B6" s="13"/>
      <c r="C6" s="12"/>
      <c r="F6" s="100" t="s">
        <v>76</v>
      </c>
      <c r="G6" s="101"/>
      <c r="H6" s="101"/>
      <c r="I6" s="102"/>
      <c r="J6" s="130"/>
      <c r="K6" s="131"/>
      <c r="L6" s="12"/>
      <c r="M6" s="1" t="s">
        <v>26</v>
      </c>
    </row>
    <row r="7" spans="1:13" s="1" customFormat="1" x14ac:dyDescent="0.25">
      <c r="A7" s="12"/>
      <c r="B7" s="14"/>
      <c r="C7" s="12"/>
      <c r="F7" s="100" t="s">
        <v>77</v>
      </c>
      <c r="G7" s="101"/>
      <c r="H7" s="101"/>
      <c r="I7" s="102"/>
      <c r="J7" s="128"/>
      <c r="K7" s="129"/>
      <c r="L7" s="12"/>
    </row>
    <row r="8" spans="1:13" s="1" customFormat="1" ht="6" customHeight="1" x14ac:dyDescent="0.25">
      <c r="A8" s="12"/>
      <c r="B8" s="15"/>
      <c r="C8" s="16"/>
      <c r="D8" s="16"/>
      <c r="E8" s="16"/>
      <c r="F8" s="16"/>
      <c r="G8" s="16"/>
      <c r="H8" s="18"/>
      <c r="I8" s="18"/>
      <c r="J8" s="16"/>
      <c r="K8" s="39"/>
      <c r="L8" s="12"/>
    </row>
    <row r="9" spans="1:13" s="1" customFormat="1" x14ac:dyDescent="0.25">
      <c r="A9" s="12"/>
      <c r="B9" s="17" t="s">
        <v>32</v>
      </c>
      <c r="C9" s="18"/>
      <c r="D9" s="18"/>
      <c r="E9" s="18"/>
      <c r="F9" s="18"/>
      <c r="G9" s="18"/>
      <c r="H9" s="18"/>
      <c r="I9" s="18"/>
      <c r="J9" s="18"/>
      <c r="K9" s="40"/>
      <c r="L9" s="12"/>
    </row>
    <row r="10" spans="1:13" s="1" customFormat="1" ht="15.75" thickBot="1" x14ac:dyDescent="0.3">
      <c r="A10" s="12"/>
      <c r="B10" s="17" t="s">
        <v>34</v>
      </c>
      <c r="C10" s="19"/>
      <c r="D10" s="18"/>
      <c r="E10" s="18"/>
      <c r="F10" s="19" t="s">
        <v>33</v>
      </c>
      <c r="G10" s="18"/>
      <c r="H10" s="18"/>
      <c r="I10" s="19"/>
      <c r="J10" s="143" t="s">
        <v>78</v>
      </c>
      <c r="K10" s="144"/>
      <c r="L10" s="12"/>
    </row>
    <row r="11" spans="1:13" s="1" customFormat="1" ht="15.75" thickTop="1" x14ac:dyDescent="0.25">
      <c r="A11" s="12"/>
      <c r="B11" s="41" t="s">
        <v>72</v>
      </c>
      <c r="C11" s="18"/>
      <c r="D11" s="2"/>
      <c r="E11" s="18" t="str">
        <f>IF(UnitsNo=1,"°C",IF(UnitsNo=2,"°F",))</f>
        <v>°C</v>
      </c>
      <c r="F11" s="18" t="str">
        <f>B11</f>
        <v>Supply water</v>
      </c>
      <c r="G11" s="18"/>
      <c r="H11" s="2"/>
      <c r="I11" s="42" t="str">
        <f>E11</f>
        <v>°C</v>
      </c>
      <c r="J11" s="122"/>
      <c r="K11" s="123" t="str">
        <f>E11</f>
        <v>°C</v>
      </c>
      <c r="L11" s="12"/>
    </row>
    <row r="12" spans="1:13" s="1" customFormat="1" x14ac:dyDescent="0.25">
      <c r="A12" s="12"/>
      <c r="B12" s="41" t="s">
        <v>73</v>
      </c>
      <c r="C12" s="18"/>
      <c r="D12" s="2"/>
      <c r="E12" s="18" t="str">
        <f>E11</f>
        <v>°C</v>
      </c>
      <c r="F12" s="18" t="str">
        <f>B12</f>
        <v>Return water</v>
      </c>
      <c r="G12" s="18"/>
      <c r="H12" s="2"/>
      <c r="I12" s="18" t="str">
        <f>E11</f>
        <v>°C</v>
      </c>
      <c r="J12" s="124"/>
      <c r="K12" s="125" t="str">
        <f>E11</f>
        <v>°C</v>
      </c>
      <c r="L12" s="12"/>
    </row>
    <row r="13" spans="1:13" s="1" customFormat="1" x14ac:dyDescent="0.25">
      <c r="A13" s="12"/>
      <c r="B13" s="41" t="s">
        <v>74</v>
      </c>
      <c r="C13" s="18"/>
      <c r="D13" s="2"/>
      <c r="E13" s="18" t="str">
        <f>E11</f>
        <v>°C</v>
      </c>
      <c r="F13" s="18" t="str">
        <f>B13</f>
        <v>Entering air</v>
      </c>
      <c r="G13" s="18"/>
      <c r="H13" s="2"/>
      <c r="I13" s="18" t="str">
        <f>E11</f>
        <v>°C</v>
      </c>
      <c r="J13" s="124"/>
      <c r="K13" s="125" t="str">
        <f>E11</f>
        <v>°C</v>
      </c>
      <c r="L13" s="12"/>
    </row>
    <row r="14" spans="1:13" s="1" customFormat="1" ht="14.1" customHeight="1" x14ac:dyDescent="0.25">
      <c r="A14" s="12"/>
      <c r="B14" s="20"/>
      <c r="C14" s="21"/>
      <c r="D14" s="22"/>
      <c r="E14" s="22"/>
      <c r="F14" s="22"/>
      <c r="G14" s="22"/>
      <c r="H14" s="22"/>
      <c r="I14" s="22"/>
      <c r="J14" s="126"/>
      <c r="K14" s="127"/>
      <c r="L14" s="12"/>
    </row>
    <row r="15" spans="1:13" s="1" customFormat="1" ht="6" customHeight="1" x14ac:dyDescent="0.25">
      <c r="A15" s="12"/>
      <c r="B15" s="12"/>
      <c r="C15" s="12"/>
      <c r="D15" s="12"/>
      <c r="E15" s="12"/>
      <c r="F15" s="44"/>
      <c r="G15" s="44"/>
      <c r="H15" s="45"/>
      <c r="I15" s="45"/>
      <c r="J15" s="12"/>
      <c r="K15" s="12"/>
      <c r="L15" s="12"/>
    </row>
    <row r="16" spans="1:13" s="1" customFormat="1" ht="114.95" customHeight="1" x14ac:dyDescent="0.25">
      <c r="A16" s="23"/>
      <c r="B16" s="55" t="str">
        <f>CONCATENATE("Length ",IF(UnitsNo=1,"[cm]",IF(UnitsNo=2,"[inch]",)))</f>
        <v>Length [cm]</v>
      </c>
      <c r="C16" s="56" t="str">
        <f>CONCATENATE("Heating capacity in",IF(UnitsNo=1," [W]",IF(UnitsNo=2," [Btu/h]",)))</f>
        <v>Heating capacity in [W]</v>
      </c>
      <c r="D16" s="57" t="str">
        <f>CONCATENATE("Water flowrate, heating in",IF(UnitsNo=1," [l/h]",IF(UnitsNo=2," [GPM]",)))</f>
        <v>Water flowrate, heating in [l/h]</v>
      </c>
      <c r="E16" s="54" t="str">
        <f>"Water side pressure loss ["&amp;IF(UnitsNo=1,"kPa","ftH2O")&amp;"]"</f>
        <v>Water side pressure loss [kPa]</v>
      </c>
      <c r="F16" s="58" t="str">
        <f>CONCATENATE("Sens. cooling capacity in",IF(UnitsNo=1," [W]",IF(UnitsNo=2," [Btu/h]",)))</f>
        <v>Sens. cooling capacity in [W]</v>
      </c>
      <c r="G16" s="57" t="str">
        <f>CONCATENATE("Water flowrate, cooling in",IF(UnitsNo=1," [l/h]",IF(UnitsNo=2," [GPM]",)))</f>
        <v>Water flowrate, cooling in [l/h]</v>
      </c>
      <c r="H16" s="54" t="str">
        <f>E16</f>
        <v>Water side pressure loss [kPa]</v>
      </c>
      <c r="I16" s="48" t="str">
        <f>"Air flowrate"&amp;IF(UnitsNo=1," [m³/h]",IF(UnitsNo=2," [CFM]",))</f>
        <v>Air flowrate [m³/h]</v>
      </c>
      <c r="J16" s="49" t="s">
        <v>37</v>
      </c>
      <c r="K16" s="50" t="s">
        <v>142</v>
      </c>
      <c r="L16" s="12"/>
    </row>
    <row r="17" spans="1:12" s="35" customFormat="1" ht="15" customHeight="1" x14ac:dyDescent="0.25">
      <c r="A17" s="12"/>
      <c r="B17" s="95" t="str">
        <f>CONCATENATE("Clima Beam - "," H",cal!H6," B",cal!M15," Type ",cal!L16)</f>
        <v>Clima Beam -  H15,3 B36 Type 20</v>
      </c>
      <c r="C17" s="96"/>
      <c r="D17" s="96"/>
      <c r="E17" s="96"/>
      <c r="F17" s="96"/>
      <c r="G17" s="96"/>
      <c r="H17" s="96"/>
      <c r="I17" s="97"/>
      <c r="J17" s="97"/>
      <c r="K17" s="98"/>
      <c r="L17" s="12"/>
    </row>
    <row r="18" spans="1:12" s="35" customFormat="1" ht="15" customHeight="1" x14ac:dyDescent="0.25">
      <c r="A18" s="12"/>
      <c r="B18" s="59"/>
      <c r="C18" s="24"/>
      <c r="D18" s="60"/>
      <c r="E18" s="61"/>
      <c r="F18" s="24"/>
      <c r="G18" s="60"/>
      <c r="H18" s="61"/>
      <c r="I18" s="24"/>
      <c r="J18" s="26"/>
      <c r="K18" s="25"/>
      <c r="L18" s="12"/>
    </row>
    <row r="19" spans="1:12" s="1" customFormat="1" ht="15" customHeight="1" x14ac:dyDescent="0.25">
      <c r="A19" s="12"/>
      <c r="B19" s="62"/>
      <c r="C19" s="27"/>
      <c r="D19" s="51"/>
      <c r="E19" s="53"/>
      <c r="F19" s="27"/>
      <c r="G19" s="51"/>
      <c r="H19" s="53"/>
      <c r="I19" s="27"/>
      <c r="J19" s="29"/>
      <c r="K19" s="28"/>
      <c r="L19" s="12"/>
    </row>
    <row r="20" spans="1:12" s="1" customFormat="1" ht="15" customHeight="1" x14ac:dyDescent="0.25">
      <c r="A20" s="12"/>
      <c r="B20" s="62"/>
      <c r="C20" s="27"/>
      <c r="D20" s="51"/>
      <c r="E20" s="53"/>
      <c r="F20" s="27"/>
      <c r="G20" s="51"/>
      <c r="H20" s="53"/>
      <c r="I20" s="27"/>
      <c r="J20" s="29"/>
      <c r="K20" s="28"/>
      <c r="L20" s="12"/>
    </row>
    <row r="21" spans="1:12" s="1" customFormat="1" ht="15" customHeight="1" x14ac:dyDescent="0.25">
      <c r="A21" s="12"/>
      <c r="B21" s="62"/>
      <c r="C21" s="27"/>
      <c r="D21" s="51"/>
      <c r="E21" s="53"/>
      <c r="F21" s="27"/>
      <c r="G21" s="51"/>
      <c r="H21" s="53"/>
      <c r="I21" s="27"/>
      <c r="J21" s="29"/>
      <c r="K21" s="28"/>
      <c r="L21" s="12"/>
    </row>
    <row r="22" spans="1:12" s="1" customFormat="1" ht="15" customHeight="1" x14ac:dyDescent="0.25">
      <c r="A22" s="12"/>
      <c r="B22" s="62"/>
      <c r="C22" s="27"/>
      <c r="D22" s="51"/>
      <c r="E22" s="53"/>
      <c r="F22" s="27"/>
      <c r="G22" s="51"/>
      <c r="H22" s="53"/>
      <c r="I22" s="27"/>
      <c r="J22" s="29"/>
      <c r="K22" s="28"/>
      <c r="L22" s="12"/>
    </row>
    <row r="23" spans="1:12" s="1" customFormat="1" ht="15" customHeight="1" x14ac:dyDescent="0.25">
      <c r="A23" s="12"/>
      <c r="B23" s="62"/>
      <c r="C23" s="27"/>
      <c r="D23" s="51"/>
      <c r="E23" s="53"/>
      <c r="F23" s="27"/>
      <c r="G23" s="51"/>
      <c r="H23" s="53"/>
      <c r="I23" s="27"/>
      <c r="J23" s="29"/>
      <c r="K23" s="28"/>
      <c r="L23" s="12"/>
    </row>
    <row r="24" spans="1:12" s="1" customFormat="1" ht="15" customHeight="1" x14ac:dyDescent="0.25">
      <c r="A24" s="12"/>
      <c r="B24" s="62"/>
      <c r="C24" s="27"/>
      <c r="D24" s="51"/>
      <c r="E24" s="53"/>
      <c r="F24" s="27"/>
      <c r="G24" s="51"/>
      <c r="H24" s="53"/>
      <c r="I24" s="27"/>
      <c r="J24" s="29"/>
      <c r="K24" s="28"/>
      <c r="L24" s="12"/>
    </row>
    <row r="25" spans="1:12" s="1" customFormat="1" ht="15" customHeight="1" x14ac:dyDescent="0.25">
      <c r="A25" s="12"/>
      <c r="B25" s="62"/>
      <c r="C25" s="27"/>
      <c r="D25" s="51"/>
      <c r="E25" s="53"/>
      <c r="F25" s="27"/>
      <c r="G25" s="51"/>
      <c r="H25" s="53"/>
      <c r="I25" s="27"/>
      <c r="J25" s="29"/>
      <c r="K25" s="28"/>
      <c r="L25" s="12"/>
    </row>
    <row r="26" spans="1:12" s="1" customFormat="1" ht="15" customHeight="1" x14ac:dyDescent="0.25">
      <c r="A26" s="12"/>
      <c r="B26" s="62"/>
      <c r="C26" s="27"/>
      <c r="D26" s="51"/>
      <c r="E26" s="53"/>
      <c r="F26" s="27"/>
      <c r="G26" s="51"/>
      <c r="H26" s="53"/>
      <c r="I26" s="27"/>
      <c r="J26" s="29"/>
      <c r="K26" s="28"/>
      <c r="L26" s="12"/>
    </row>
    <row r="27" spans="1:12" s="1" customFormat="1" ht="15" customHeight="1" x14ac:dyDescent="0.25">
      <c r="A27" s="12"/>
      <c r="B27" s="62"/>
      <c r="C27" s="27"/>
      <c r="D27" s="51"/>
      <c r="E27" s="53"/>
      <c r="F27" s="27"/>
      <c r="G27" s="51"/>
      <c r="H27" s="53"/>
      <c r="I27" s="27"/>
      <c r="J27" s="29"/>
      <c r="K27" s="28"/>
      <c r="L27" s="12"/>
    </row>
    <row r="28" spans="1:12" s="1" customFormat="1" ht="15" customHeight="1" x14ac:dyDescent="0.25">
      <c r="A28" s="12"/>
      <c r="B28" s="62"/>
      <c r="C28" s="27"/>
      <c r="D28" s="51"/>
      <c r="E28" s="53"/>
      <c r="F28" s="27"/>
      <c r="G28" s="51"/>
      <c r="H28" s="53"/>
      <c r="I28" s="27"/>
      <c r="J28" s="29"/>
      <c r="K28" s="28"/>
      <c r="L28" s="12"/>
    </row>
    <row r="29" spans="1:12" s="1" customFormat="1" ht="15" customHeight="1" x14ac:dyDescent="0.25">
      <c r="A29" s="12"/>
      <c r="B29" s="63"/>
      <c r="C29" s="30"/>
      <c r="D29" s="52"/>
      <c r="E29" s="64"/>
      <c r="F29" s="30"/>
      <c r="G29" s="52"/>
      <c r="H29" s="64"/>
      <c r="I29" s="30"/>
      <c r="J29" s="32"/>
      <c r="K29" s="31"/>
      <c r="L29" s="12"/>
    </row>
    <row r="30" spans="1:12" s="1" customFormat="1" ht="15" customHeight="1" x14ac:dyDescent="0.25">
      <c r="A30" s="12"/>
      <c r="B30" s="93"/>
      <c r="C30" s="93"/>
      <c r="D30" s="93"/>
      <c r="E30" s="93"/>
      <c r="F30" s="93"/>
      <c r="G30" s="93"/>
      <c r="H30" s="33"/>
      <c r="I30" s="43"/>
      <c r="J30" s="36"/>
      <c r="K30" s="36"/>
      <c r="L30" s="12"/>
    </row>
    <row r="31" spans="1:12" s="1" customFormat="1" ht="16.5" customHeight="1" x14ac:dyDescent="0.25">
      <c r="A31" s="12"/>
      <c r="B31" s="93" t="s">
        <v>118</v>
      </c>
      <c r="C31" s="93"/>
      <c r="D31" s="93"/>
      <c r="E31" s="93"/>
      <c r="F31" s="93"/>
      <c r="G31" s="93"/>
      <c r="H31" s="93"/>
      <c r="I31" s="93"/>
      <c r="J31" s="93"/>
      <c r="K31" s="93"/>
      <c r="L31" s="12"/>
    </row>
    <row r="32" spans="1:12" ht="60.75" customHeight="1" x14ac:dyDescent="0.25">
      <c r="B32" s="93" t="s">
        <v>123</v>
      </c>
      <c r="C32" s="93"/>
      <c r="D32" s="93"/>
      <c r="E32" s="93"/>
      <c r="F32" s="93"/>
      <c r="G32" s="93"/>
      <c r="H32" s="93"/>
      <c r="I32" s="93"/>
      <c r="J32" s="93"/>
      <c r="K32" s="93"/>
    </row>
    <row r="33" spans="1:12" ht="33" customHeight="1" x14ac:dyDescent="0.25">
      <c r="B33" s="92" t="s">
        <v>50</v>
      </c>
      <c r="C33" s="92"/>
      <c r="D33" s="92"/>
      <c r="E33" s="92"/>
      <c r="F33" s="92"/>
      <c r="G33" s="92"/>
      <c r="H33" s="92"/>
      <c r="I33" s="92"/>
      <c r="J33" s="92"/>
      <c r="K33" s="92"/>
    </row>
    <row r="34" spans="1:12" x14ac:dyDescent="0.25">
      <c r="B34" s="47"/>
      <c r="C34" s="47"/>
      <c r="D34" s="47"/>
      <c r="E34" s="47"/>
      <c r="F34" s="47"/>
      <c r="G34" s="47"/>
    </row>
    <row r="35" spans="1:12" x14ac:dyDescent="0.25">
      <c r="B35" s="47"/>
      <c r="C35" s="47"/>
      <c r="D35" s="47"/>
      <c r="E35" s="47"/>
      <c r="F35" s="47"/>
      <c r="G35" s="47"/>
    </row>
    <row r="36" spans="1:12" x14ac:dyDescent="0.25">
      <c r="B36" s="47"/>
      <c r="C36" s="47"/>
      <c r="D36" s="47"/>
      <c r="E36" s="47"/>
      <c r="F36" s="47"/>
      <c r="G36" s="47"/>
    </row>
    <row r="39" spans="1:12" x14ac:dyDescent="0.25">
      <c r="A39" s="69"/>
      <c r="B39" s="69"/>
      <c r="C39" s="69"/>
      <c r="D39" s="69"/>
      <c r="E39" s="69"/>
      <c r="F39" s="69"/>
      <c r="G39" s="69"/>
      <c r="H39" s="69"/>
      <c r="I39" s="69"/>
      <c r="J39" s="69"/>
      <c r="K39" s="69"/>
      <c r="L39" s="69"/>
    </row>
    <row r="40" spans="1:12" ht="15" customHeight="1" x14ac:dyDescent="0.25">
      <c r="A40" s="69"/>
      <c r="B40" s="69"/>
      <c r="C40" s="69"/>
      <c r="D40" s="69"/>
      <c r="E40" s="69"/>
      <c r="F40" s="69"/>
      <c r="G40" s="69"/>
      <c r="H40" s="69"/>
      <c r="I40" s="69"/>
      <c r="J40" s="69"/>
      <c r="K40" s="69"/>
      <c r="L40" s="69"/>
    </row>
  </sheetData>
  <mergeCells count="17">
    <mergeCell ref="B17:K17"/>
    <mergeCell ref="B30:G30"/>
    <mergeCell ref="B31:K31"/>
    <mergeCell ref="B32:K32"/>
    <mergeCell ref="B33:K33"/>
    <mergeCell ref="J11:K14"/>
    <mergeCell ref="B2:I2"/>
    <mergeCell ref="F4:I4"/>
    <mergeCell ref="J4:K4"/>
    <mergeCell ref="B5:C5"/>
    <mergeCell ref="F5:I5"/>
    <mergeCell ref="J5:K5"/>
    <mergeCell ref="F6:I6"/>
    <mergeCell ref="J6:K6"/>
    <mergeCell ref="F7:I7"/>
    <mergeCell ref="J7:K7"/>
    <mergeCell ref="J10:K10"/>
  </mergeCells>
  <dataValidations count="2">
    <dataValidation type="whole" errorStyle="information" allowBlank="1" showErrorMessage="1" error="Eingabe außerhalb des gültigen Bereichs." prompt="20°C bis 35°C" sqref="F11:F13" xr:uid="{00000000-0002-0000-0B00-000000000000}">
      <formula1>20</formula1>
      <formula2>35</formula2>
    </dataValidation>
    <dataValidation type="whole" errorStyle="information" allowBlank="1" showErrorMessage="1" error="Eingabe außerhalb des gültigen Bereichs." prompt="Eingabe zwischen 16°C bis 30°C" sqref="J11:J13" xr:uid="{00000000-0002-0000-0B00-000001000000}">
      <formula1>16</formula1>
      <formula2>30</formula2>
    </dataValidation>
  </dataValidation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Blad15"/>
  <dimension ref="A1:M40"/>
  <sheetViews>
    <sheetView workbookViewId="0">
      <selection activeCell="J6" sqref="J6:K6"/>
    </sheetView>
  </sheetViews>
  <sheetFormatPr defaultRowHeight="15" x14ac:dyDescent="0.25"/>
  <cols>
    <col min="1" max="1" width="2.28515625" style="12" customWidth="1"/>
    <col min="2" max="8" width="9.7109375" style="12" customWidth="1"/>
    <col min="9" max="9" width="6.7109375" style="12" customWidth="1"/>
    <col min="10" max="10" width="10.7109375" style="12" customWidth="1"/>
    <col min="11" max="11" width="5.7109375" style="12" customWidth="1"/>
    <col min="12" max="12" width="2.28515625" style="12" customWidth="1"/>
    <col min="13" max="16384" width="9.140625" style="11"/>
  </cols>
  <sheetData>
    <row r="1" spans="1:13" x14ac:dyDescent="0.25">
      <c r="D1" s="38"/>
      <c r="E1" s="38"/>
      <c r="F1" s="38"/>
      <c r="G1" s="38"/>
    </row>
    <row r="2" spans="1:13" ht="15" customHeight="1" x14ac:dyDescent="0.25">
      <c r="B2" s="113"/>
      <c r="C2" s="114"/>
      <c r="D2" s="114"/>
      <c r="E2" s="114"/>
      <c r="F2" s="114"/>
      <c r="G2" s="114"/>
      <c r="H2" s="114"/>
      <c r="I2" s="115"/>
    </row>
    <row r="4" spans="1:13" s="1" customFormat="1" x14ac:dyDescent="0.25">
      <c r="A4" s="12"/>
      <c r="B4" s="13"/>
      <c r="C4" s="12"/>
      <c r="F4" s="100" t="s">
        <v>56</v>
      </c>
      <c r="G4" s="101"/>
      <c r="H4" s="101"/>
      <c r="I4" s="102"/>
      <c r="J4" s="103"/>
      <c r="K4" s="104"/>
      <c r="L4" s="12"/>
    </row>
    <row r="5" spans="1:13" s="1" customFormat="1" x14ac:dyDescent="0.25">
      <c r="A5" s="12"/>
      <c r="B5" s="94"/>
      <c r="C5" s="94"/>
      <c r="F5" s="100" t="s">
        <v>75</v>
      </c>
      <c r="G5" s="101"/>
      <c r="H5" s="101"/>
      <c r="I5" s="102"/>
      <c r="J5" s="130"/>
      <c r="K5" s="131"/>
      <c r="L5" s="12"/>
      <c r="M5" s="1" t="s">
        <v>36</v>
      </c>
    </row>
    <row r="6" spans="1:13" s="1" customFormat="1" x14ac:dyDescent="0.25">
      <c r="A6" s="12"/>
      <c r="B6" s="13"/>
      <c r="C6" s="12"/>
      <c r="F6" s="100" t="s">
        <v>76</v>
      </c>
      <c r="G6" s="101"/>
      <c r="H6" s="101"/>
      <c r="I6" s="102"/>
      <c r="J6" s="130"/>
      <c r="K6" s="131"/>
      <c r="L6" s="12"/>
      <c r="M6" s="1" t="s">
        <v>26</v>
      </c>
    </row>
    <row r="7" spans="1:13" s="1" customFormat="1" x14ac:dyDescent="0.25">
      <c r="A7" s="12"/>
      <c r="B7" s="14"/>
      <c r="C7" s="12"/>
      <c r="F7" s="100" t="s">
        <v>77</v>
      </c>
      <c r="G7" s="101"/>
      <c r="H7" s="101"/>
      <c r="I7" s="102"/>
      <c r="J7" s="128"/>
      <c r="K7" s="129"/>
      <c r="L7" s="12"/>
    </row>
    <row r="8" spans="1:13" s="1" customFormat="1" ht="6" customHeight="1" x14ac:dyDescent="0.25">
      <c r="A8" s="12"/>
      <c r="B8" s="15"/>
      <c r="C8" s="16"/>
      <c r="D8" s="16"/>
      <c r="E8" s="16"/>
      <c r="F8" s="16"/>
      <c r="G8" s="16"/>
      <c r="H8" s="18"/>
      <c r="I8" s="18"/>
      <c r="J8" s="16"/>
      <c r="K8" s="39"/>
      <c r="L8" s="12"/>
    </row>
    <row r="9" spans="1:13" s="1" customFormat="1" x14ac:dyDescent="0.25">
      <c r="A9" s="12"/>
      <c r="B9" s="17" t="s">
        <v>32</v>
      </c>
      <c r="C9" s="18"/>
      <c r="D9" s="18"/>
      <c r="E9" s="18"/>
      <c r="F9" s="18"/>
      <c r="G9" s="18"/>
      <c r="H9" s="18"/>
      <c r="I9" s="18"/>
      <c r="J9" s="18"/>
      <c r="K9" s="40"/>
      <c r="L9" s="12"/>
    </row>
    <row r="10" spans="1:13" s="1" customFormat="1" ht="15.75" thickBot="1" x14ac:dyDescent="0.3">
      <c r="A10" s="12"/>
      <c r="B10" s="17" t="s">
        <v>34</v>
      </c>
      <c r="C10" s="19"/>
      <c r="D10" s="18"/>
      <c r="E10" s="18"/>
      <c r="F10" s="19" t="s">
        <v>33</v>
      </c>
      <c r="G10" s="18"/>
      <c r="H10" s="18"/>
      <c r="I10" s="19"/>
      <c r="J10" s="143" t="s">
        <v>78</v>
      </c>
      <c r="K10" s="144"/>
      <c r="L10" s="12"/>
    </row>
    <row r="11" spans="1:13" s="1" customFormat="1" ht="15.75" thickTop="1" x14ac:dyDescent="0.25">
      <c r="A11" s="12"/>
      <c r="B11" s="41" t="s">
        <v>72</v>
      </c>
      <c r="C11" s="18"/>
      <c r="D11" s="2"/>
      <c r="E11" s="18" t="str">
        <f>IF(UnitsNo=1,"°C",IF(UnitsNo=2,"°F",))</f>
        <v>°C</v>
      </c>
      <c r="F11" s="18" t="str">
        <f>B11</f>
        <v>Supply water</v>
      </c>
      <c r="G11" s="18"/>
      <c r="H11" s="2"/>
      <c r="I11" s="42" t="str">
        <f>E11</f>
        <v>°C</v>
      </c>
      <c r="J11" s="122"/>
      <c r="K11" s="123" t="str">
        <f>E11</f>
        <v>°C</v>
      </c>
      <c r="L11" s="12"/>
    </row>
    <row r="12" spans="1:13" s="1" customFormat="1" x14ac:dyDescent="0.25">
      <c r="A12" s="12"/>
      <c r="B12" s="41" t="s">
        <v>73</v>
      </c>
      <c r="C12" s="18"/>
      <c r="D12" s="2"/>
      <c r="E12" s="18" t="str">
        <f>E11</f>
        <v>°C</v>
      </c>
      <c r="F12" s="18" t="str">
        <f>B12</f>
        <v>Return water</v>
      </c>
      <c r="G12" s="18"/>
      <c r="H12" s="2"/>
      <c r="I12" s="18" t="str">
        <f>E11</f>
        <v>°C</v>
      </c>
      <c r="J12" s="124"/>
      <c r="K12" s="125" t="str">
        <f>E11</f>
        <v>°C</v>
      </c>
      <c r="L12" s="12"/>
    </row>
    <row r="13" spans="1:13" s="1" customFormat="1" x14ac:dyDescent="0.25">
      <c r="A13" s="12"/>
      <c r="B13" s="41" t="s">
        <v>74</v>
      </c>
      <c r="C13" s="18"/>
      <c r="D13" s="2"/>
      <c r="E13" s="18" t="str">
        <f>E11</f>
        <v>°C</v>
      </c>
      <c r="F13" s="18" t="str">
        <f>B13</f>
        <v>Entering air</v>
      </c>
      <c r="G13" s="18"/>
      <c r="H13" s="2"/>
      <c r="I13" s="18" t="str">
        <f>E11</f>
        <v>°C</v>
      </c>
      <c r="J13" s="124"/>
      <c r="K13" s="125" t="str">
        <f>E11</f>
        <v>°C</v>
      </c>
      <c r="L13" s="12"/>
    </row>
    <row r="14" spans="1:13" s="1" customFormat="1" ht="14.1" customHeight="1" x14ac:dyDescent="0.25">
      <c r="A14" s="12"/>
      <c r="B14" s="20"/>
      <c r="C14" s="21"/>
      <c r="D14" s="22"/>
      <c r="E14" s="22"/>
      <c r="F14" s="22"/>
      <c r="G14" s="22"/>
      <c r="H14" s="22"/>
      <c r="I14" s="22"/>
      <c r="J14" s="126"/>
      <c r="K14" s="127"/>
      <c r="L14" s="12"/>
    </row>
    <row r="15" spans="1:13" s="1" customFormat="1" ht="6" customHeight="1" x14ac:dyDescent="0.25">
      <c r="A15" s="12"/>
      <c r="B15" s="12"/>
      <c r="C15" s="12"/>
      <c r="D15" s="12"/>
      <c r="E15" s="12"/>
      <c r="F15" s="44"/>
      <c r="G15" s="44"/>
      <c r="H15" s="45"/>
      <c r="I15" s="45"/>
      <c r="J15" s="12"/>
      <c r="K15" s="12"/>
      <c r="L15" s="12"/>
    </row>
    <row r="16" spans="1:13" s="1" customFormat="1" ht="114.95" customHeight="1" x14ac:dyDescent="0.25">
      <c r="A16" s="23"/>
      <c r="B16" s="55" t="str">
        <f>CONCATENATE("Length ",IF(UnitsNo=1,"[cm]",IF(UnitsNo=2,"[inch]",)))</f>
        <v>Length [cm]</v>
      </c>
      <c r="C16" s="56" t="str">
        <f>CONCATENATE("Heating capacity in",IF(UnitsNo=1," [W]",IF(UnitsNo=2," [Btu/h]",)))</f>
        <v>Heating capacity in [W]</v>
      </c>
      <c r="D16" s="57" t="str">
        <f>CONCATENATE("Water flowrate, heating in",IF(UnitsNo=1," [l/h]",IF(UnitsNo=2," [GPM]",)))</f>
        <v>Water flowrate, heating in [l/h]</v>
      </c>
      <c r="E16" s="54" t="str">
        <f>"Water side pressure loss ["&amp;IF(UnitsNo=1,"kPa","ftH2O")&amp;"]"</f>
        <v>Water side pressure loss [kPa]</v>
      </c>
      <c r="F16" s="58" t="str">
        <f>CONCATENATE("Sens. cooling capacity in",IF(UnitsNo=1," [W]",IF(UnitsNo=2," [Btu/h]",)))</f>
        <v>Sens. cooling capacity in [W]</v>
      </c>
      <c r="G16" s="57" t="str">
        <f>CONCATENATE("Water flowrate, cooling in",IF(UnitsNo=1," [l/h]",IF(UnitsNo=2," [GPM]",)))</f>
        <v>Water flowrate, cooling in [l/h]</v>
      </c>
      <c r="H16" s="54" t="str">
        <f>E16</f>
        <v>Water side pressure loss [kPa]</v>
      </c>
      <c r="I16" s="48" t="str">
        <f>"Air flowrate"&amp;IF(UnitsNo=1," [m³/h]",IF(UnitsNo=2," [CFM]",))</f>
        <v>Air flowrate [m³/h]</v>
      </c>
      <c r="J16" s="49" t="s">
        <v>37</v>
      </c>
      <c r="K16" s="50" t="s">
        <v>142</v>
      </c>
      <c r="L16" s="12"/>
    </row>
    <row r="17" spans="1:12" s="35" customFormat="1" ht="15" customHeight="1" x14ac:dyDescent="0.25">
      <c r="A17" s="12"/>
      <c r="B17" s="95" t="str">
        <f>CONCATENATE("Clima Beam - "," H",cal!H6," B",cal!M15," Type ",cal!L16)</f>
        <v>Clima Beam -  H15,3 B36 Type 20</v>
      </c>
      <c r="C17" s="96"/>
      <c r="D17" s="96"/>
      <c r="E17" s="96"/>
      <c r="F17" s="96"/>
      <c r="G17" s="96"/>
      <c r="H17" s="96"/>
      <c r="I17" s="97"/>
      <c r="J17" s="97"/>
      <c r="K17" s="98"/>
      <c r="L17" s="12"/>
    </row>
    <row r="18" spans="1:12" s="35" customFormat="1" ht="15" customHeight="1" x14ac:dyDescent="0.25">
      <c r="A18" s="12"/>
      <c r="B18" s="59"/>
      <c r="C18" s="24"/>
      <c r="D18" s="60"/>
      <c r="E18" s="61"/>
      <c r="F18" s="24"/>
      <c r="G18" s="60"/>
      <c r="H18" s="61"/>
      <c r="I18" s="24"/>
      <c r="J18" s="26"/>
      <c r="K18" s="25"/>
      <c r="L18" s="12"/>
    </row>
    <row r="19" spans="1:12" s="1" customFormat="1" ht="15" customHeight="1" x14ac:dyDescent="0.25">
      <c r="A19" s="12"/>
      <c r="B19" s="62"/>
      <c r="C19" s="27"/>
      <c r="D19" s="51"/>
      <c r="E19" s="53"/>
      <c r="F19" s="27"/>
      <c r="G19" s="51"/>
      <c r="H19" s="53"/>
      <c r="I19" s="27"/>
      <c r="J19" s="29"/>
      <c r="K19" s="28"/>
      <c r="L19" s="12"/>
    </row>
    <row r="20" spans="1:12" s="1" customFormat="1" ht="15" customHeight="1" x14ac:dyDescent="0.25">
      <c r="A20" s="12"/>
      <c r="B20" s="62"/>
      <c r="C20" s="27"/>
      <c r="D20" s="51"/>
      <c r="E20" s="53"/>
      <c r="F20" s="27"/>
      <c r="G20" s="51"/>
      <c r="H20" s="53"/>
      <c r="I20" s="27"/>
      <c r="J20" s="29"/>
      <c r="K20" s="28"/>
      <c r="L20" s="12"/>
    </row>
    <row r="21" spans="1:12" s="1" customFormat="1" ht="15" customHeight="1" x14ac:dyDescent="0.25">
      <c r="A21" s="12"/>
      <c r="B21" s="62"/>
      <c r="C21" s="27"/>
      <c r="D21" s="51"/>
      <c r="E21" s="53"/>
      <c r="F21" s="27"/>
      <c r="G21" s="51"/>
      <c r="H21" s="53"/>
      <c r="I21" s="27"/>
      <c r="J21" s="29"/>
      <c r="K21" s="28"/>
      <c r="L21" s="12"/>
    </row>
    <row r="22" spans="1:12" s="1" customFormat="1" ht="15" customHeight="1" x14ac:dyDescent="0.25">
      <c r="A22" s="12"/>
      <c r="B22" s="62"/>
      <c r="C22" s="27"/>
      <c r="D22" s="51"/>
      <c r="E22" s="53"/>
      <c r="F22" s="27"/>
      <c r="G22" s="51"/>
      <c r="H22" s="53"/>
      <c r="I22" s="27"/>
      <c r="J22" s="29"/>
      <c r="K22" s="28"/>
      <c r="L22" s="12"/>
    </row>
    <row r="23" spans="1:12" s="1" customFormat="1" ht="15" customHeight="1" x14ac:dyDescent="0.25">
      <c r="A23" s="12"/>
      <c r="B23" s="62"/>
      <c r="C23" s="27"/>
      <c r="D23" s="51"/>
      <c r="E23" s="53"/>
      <c r="F23" s="27"/>
      <c r="G23" s="51"/>
      <c r="H23" s="53"/>
      <c r="I23" s="27"/>
      <c r="J23" s="29"/>
      <c r="K23" s="28"/>
      <c r="L23" s="12"/>
    </row>
    <row r="24" spans="1:12" s="1" customFormat="1" ht="15" customHeight="1" x14ac:dyDescent="0.25">
      <c r="A24" s="12"/>
      <c r="B24" s="62"/>
      <c r="C24" s="27"/>
      <c r="D24" s="51"/>
      <c r="E24" s="53"/>
      <c r="F24" s="27"/>
      <c r="G24" s="51"/>
      <c r="H24" s="53"/>
      <c r="I24" s="27"/>
      <c r="J24" s="29"/>
      <c r="K24" s="28"/>
      <c r="L24" s="12"/>
    </row>
    <row r="25" spans="1:12" s="1" customFormat="1" ht="15" customHeight="1" x14ac:dyDescent="0.25">
      <c r="A25" s="12"/>
      <c r="B25" s="62"/>
      <c r="C25" s="27"/>
      <c r="D25" s="51"/>
      <c r="E25" s="53"/>
      <c r="F25" s="27"/>
      <c r="G25" s="51"/>
      <c r="H25" s="53"/>
      <c r="I25" s="27"/>
      <c r="J25" s="29"/>
      <c r="K25" s="28"/>
      <c r="L25" s="12"/>
    </row>
    <row r="26" spans="1:12" s="1" customFormat="1" ht="15" customHeight="1" x14ac:dyDescent="0.25">
      <c r="A26" s="12"/>
      <c r="B26" s="62"/>
      <c r="C26" s="27"/>
      <c r="D26" s="51"/>
      <c r="E26" s="53"/>
      <c r="F26" s="27"/>
      <c r="G26" s="51"/>
      <c r="H26" s="53"/>
      <c r="I26" s="27"/>
      <c r="J26" s="29"/>
      <c r="K26" s="28"/>
      <c r="L26" s="12"/>
    </row>
    <row r="27" spans="1:12" s="1" customFormat="1" ht="15" customHeight="1" x14ac:dyDescent="0.25">
      <c r="A27" s="12"/>
      <c r="B27" s="62"/>
      <c r="C27" s="27"/>
      <c r="D27" s="51"/>
      <c r="E27" s="53"/>
      <c r="F27" s="27"/>
      <c r="G27" s="51"/>
      <c r="H27" s="53"/>
      <c r="I27" s="27"/>
      <c r="J27" s="29"/>
      <c r="K27" s="28"/>
      <c r="L27" s="12"/>
    </row>
    <row r="28" spans="1:12" s="1" customFormat="1" ht="15" customHeight="1" x14ac:dyDescent="0.25">
      <c r="A28" s="12"/>
      <c r="B28" s="62"/>
      <c r="C28" s="27"/>
      <c r="D28" s="51"/>
      <c r="E28" s="53"/>
      <c r="F28" s="27"/>
      <c r="G28" s="51"/>
      <c r="H28" s="53"/>
      <c r="I28" s="27"/>
      <c r="J28" s="29"/>
      <c r="K28" s="28"/>
      <c r="L28" s="12"/>
    </row>
    <row r="29" spans="1:12" s="1" customFormat="1" ht="15" customHeight="1" x14ac:dyDescent="0.25">
      <c r="A29" s="12"/>
      <c r="B29" s="63"/>
      <c r="C29" s="30"/>
      <c r="D29" s="52"/>
      <c r="E29" s="64"/>
      <c r="F29" s="30"/>
      <c r="G29" s="52"/>
      <c r="H29" s="64"/>
      <c r="I29" s="30"/>
      <c r="J29" s="32"/>
      <c r="K29" s="31"/>
      <c r="L29" s="12"/>
    </row>
    <row r="30" spans="1:12" s="1" customFormat="1" ht="15" customHeight="1" x14ac:dyDescent="0.25">
      <c r="A30" s="12"/>
      <c r="B30" s="93"/>
      <c r="C30" s="93"/>
      <c r="D30" s="93"/>
      <c r="E30" s="93"/>
      <c r="F30" s="93"/>
      <c r="G30" s="93"/>
      <c r="H30" s="33"/>
      <c r="I30" s="43"/>
      <c r="J30" s="36"/>
      <c r="K30" s="36"/>
      <c r="L30" s="12"/>
    </row>
    <row r="31" spans="1:12" s="1" customFormat="1" ht="16.5" customHeight="1" x14ac:dyDescent="0.25">
      <c r="A31" s="12"/>
      <c r="B31" s="93" t="s">
        <v>118</v>
      </c>
      <c r="C31" s="93"/>
      <c r="D31" s="93"/>
      <c r="E31" s="93"/>
      <c r="F31" s="93"/>
      <c r="G31" s="93"/>
      <c r="H31" s="93"/>
      <c r="I31" s="93"/>
      <c r="J31" s="93"/>
      <c r="K31" s="93"/>
      <c r="L31" s="12"/>
    </row>
    <row r="32" spans="1:12" ht="60.75" customHeight="1" x14ac:dyDescent="0.25">
      <c r="B32" s="93" t="s">
        <v>123</v>
      </c>
      <c r="C32" s="93"/>
      <c r="D32" s="93"/>
      <c r="E32" s="93"/>
      <c r="F32" s="93"/>
      <c r="G32" s="93"/>
      <c r="H32" s="93"/>
      <c r="I32" s="93"/>
      <c r="J32" s="93"/>
      <c r="K32" s="93"/>
    </row>
    <row r="33" spans="1:12" ht="33" customHeight="1" x14ac:dyDescent="0.25">
      <c r="B33" s="92" t="s">
        <v>50</v>
      </c>
      <c r="C33" s="92"/>
      <c r="D33" s="92"/>
      <c r="E33" s="92"/>
      <c r="F33" s="92"/>
      <c r="G33" s="92"/>
      <c r="H33" s="92"/>
      <c r="I33" s="92"/>
      <c r="J33" s="92"/>
      <c r="K33" s="92"/>
    </row>
    <row r="34" spans="1:12" x14ac:dyDescent="0.25">
      <c r="B34" s="47"/>
      <c r="C34" s="47"/>
      <c r="D34" s="47"/>
      <c r="E34" s="47"/>
      <c r="F34" s="47"/>
      <c r="G34" s="47"/>
    </row>
    <row r="35" spans="1:12" x14ac:dyDescent="0.25">
      <c r="B35" s="47"/>
      <c r="C35" s="47"/>
      <c r="D35" s="47"/>
      <c r="E35" s="47"/>
      <c r="F35" s="47"/>
      <c r="G35" s="47"/>
    </row>
    <row r="36" spans="1:12" x14ac:dyDescent="0.25">
      <c r="B36" s="47"/>
      <c r="C36" s="47"/>
      <c r="D36" s="47"/>
      <c r="E36" s="47"/>
      <c r="F36" s="47"/>
      <c r="G36" s="47"/>
    </row>
    <row r="39" spans="1:12" x14ac:dyDescent="0.25">
      <c r="A39" s="69"/>
      <c r="B39" s="69"/>
      <c r="C39" s="69"/>
      <c r="D39" s="69"/>
      <c r="E39" s="69"/>
      <c r="F39" s="69"/>
      <c r="G39" s="69"/>
      <c r="H39" s="69"/>
      <c r="I39" s="69"/>
      <c r="J39" s="69"/>
      <c r="K39" s="69"/>
      <c r="L39" s="69"/>
    </row>
    <row r="40" spans="1:12" ht="15" customHeight="1" x14ac:dyDescent="0.25">
      <c r="A40" s="69"/>
      <c r="B40" s="69"/>
      <c r="C40" s="69"/>
      <c r="D40" s="69"/>
      <c r="E40" s="69"/>
      <c r="F40" s="69"/>
      <c r="G40" s="69"/>
      <c r="H40" s="69"/>
      <c r="I40" s="69"/>
      <c r="J40" s="69"/>
      <c r="K40" s="69"/>
      <c r="L40" s="69"/>
    </row>
  </sheetData>
  <mergeCells count="17">
    <mergeCell ref="B17:K17"/>
    <mergeCell ref="B30:G30"/>
    <mergeCell ref="B31:K31"/>
    <mergeCell ref="B32:K32"/>
    <mergeCell ref="B33:K33"/>
    <mergeCell ref="J11:K14"/>
    <mergeCell ref="B2:I2"/>
    <mergeCell ref="F4:I4"/>
    <mergeCell ref="J4:K4"/>
    <mergeCell ref="B5:C5"/>
    <mergeCell ref="F5:I5"/>
    <mergeCell ref="J5:K5"/>
    <mergeCell ref="F6:I6"/>
    <mergeCell ref="J6:K6"/>
    <mergeCell ref="F7:I7"/>
    <mergeCell ref="J7:K7"/>
    <mergeCell ref="J10:K10"/>
  </mergeCells>
  <dataValidations count="2">
    <dataValidation type="whole" errorStyle="information" allowBlank="1" showErrorMessage="1" error="Eingabe außerhalb des gültigen Bereichs." prompt="20°C bis 35°C" sqref="F11:F13" xr:uid="{00000000-0002-0000-0C00-000000000000}">
      <formula1>20</formula1>
      <formula2>35</formula2>
    </dataValidation>
    <dataValidation type="whole" errorStyle="information" allowBlank="1" showErrorMessage="1" error="Eingabe außerhalb des gültigen Bereichs." prompt="Eingabe zwischen 16°C bis 30°C" sqref="J11:J13" xr:uid="{00000000-0002-0000-0C00-000001000000}">
      <formula1>16</formula1>
      <formula2>30</formula2>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1"/>
  <dimension ref="A1:CF45"/>
  <sheetViews>
    <sheetView topLeftCell="A2" zoomScale="80" zoomScaleNormal="85" workbookViewId="0">
      <selection activeCell="B18" sqref="B18"/>
    </sheetView>
  </sheetViews>
  <sheetFormatPr defaultRowHeight="15" x14ac:dyDescent="0.25"/>
  <cols>
    <col min="1" max="1" width="2.28515625" style="12" customWidth="1"/>
    <col min="2" max="8" width="9.7109375" style="12" customWidth="1"/>
    <col min="9" max="9" width="6.7109375" style="12" customWidth="1"/>
    <col min="10" max="10" width="4.7109375" style="1" customWidth="1"/>
    <col min="11" max="13" width="9.140625" style="11"/>
    <col min="14" max="14" width="16.85546875" style="11" customWidth="1"/>
    <col min="15" max="15" width="9.140625" style="11"/>
    <col min="16" max="16" width="9.42578125" style="11" bestFit="1" customWidth="1"/>
    <col min="17" max="73" width="9.140625" style="11"/>
    <col min="74" max="77" width="10.7109375" style="11" bestFit="1" customWidth="1"/>
    <col min="78" max="79" width="9.140625" style="11"/>
    <col min="80" max="80" width="18.28515625" style="11" customWidth="1"/>
    <col min="81" max="16384" width="9.140625" style="11"/>
  </cols>
  <sheetData>
    <row r="1" spans="1:81" ht="15" customHeight="1" x14ac:dyDescent="0.25">
      <c r="D1" s="38"/>
      <c r="E1" s="38"/>
      <c r="F1" s="38"/>
      <c r="G1" s="38"/>
      <c r="L1" s="1" t="s">
        <v>58</v>
      </c>
    </row>
    <row r="2" spans="1:81" ht="30" customHeight="1" x14ac:dyDescent="0.25">
      <c r="B2" s="113"/>
      <c r="C2" s="114"/>
      <c r="D2" s="114"/>
      <c r="E2" s="114"/>
      <c r="F2" s="114"/>
      <c r="G2" s="114"/>
      <c r="H2" s="114"/>
      <c r="I2" s="115"/>
      <c r="L2" s="1" t="s">
        <v>59</v>
      </c>
    </row>
    <row r="3" spans="1:81" ht="15" customHeight="1" x14ac:dyDescent="0.25">
      <c r="L3" s="1" t="s">
        <v>60</v>
      </c>
      <c r="P3" s="11" t="str">
        <f>IF($M$5=1,NL!M9,IF($M$5=2,EN!M9,IF($M$5=3,DE!M9,IF($M$5=4,FR!M9,IF($M$5=5,NR!M9,IF($M$5=6,SP!M9,IF($M$5=7,SW!M9,IF($M$5=8,TS!M9,IF($M$5=9,ExtraTaal1!M9,IF($M$5=10,ExtraTaal2!M9,IF($M$5=11,ExtraTaal3!M9,)))))))))))</f>
        <v>Copy all data</v>
      </c>
    </row>
    <row r="4" spans="1:81" s="1" customFormat="1" x14ac:dyDescent="0.25">
      <c r="A4" s="12"/>
      <c r="B4" s="13"/>
      <c r="C4" s="12"/>
      <c r="D4" s="100" t="s">
        <v>56</v>
      </c>
      <c r="E4" s="101"/>
      <c r="F4" s="101"/>
      <c r="G4" s="102"/>
      <c r="H4" s="103" t="str">
        <f>'Clima Beam'!J4</f>
        <v>English</v>
      </c>
      <c r="I4" s="104"/>
      <c r="J4" s="12"/>
      <c r="L4" s="1" t="s">
        <v>61</v>
      </c>
      <c r="P4" s="11" t="str">
        <f>IF($M$5=1,NL!M10,IF($M$5=2,EN!M10,IF($M$5=3,DE!M10,IF($M$5=4,FR!M10,IF($M$5=5,NR!M10,IF($M$5=6,SP!M10,IF($M$5=7,SW!M10,IF($M$5=8,TS!M10,IF($M$5=9,ExtraTaal1!M10,IF($M$5=10,ExtraTaal2!M10,IF($M$5=11,ExtraTaal3!M10,)))))))))))</f>
        <v>SI-units</v>
      </c>
      <c r="AT4" s="11"/>
      <c r="AU4" s="11"/>
    </row>
    <row r="5" spans="1:81" s="1" customFormat="1" x14ac:dyDescent="0.25">
      <c r="A5" s="12"/>
      <c r="B5" s="94"/>
      <c r="C5" s="94"/>
      <c r="D5" s="100" t="str">
        <f>IF($M$5=1,NL!F5,IF($M$5=2,EN!F5,IF($M$5=3,DE!F5,IF($M$5=4,FR!F5,IF($M$5=5,NR!F5,IF($M$5=6,SP!F5,IF($M$5=7,SW!F5,IF($M$5=8,TS!F5,IF($M$5=9,ExtraTaal1!F5,IF($M$5=10,ExtraTaal2!F5,IF($M$5=11,ExtraTaal3!F5,)))))))))))</f>
        <v>Model:</v>
      </c>
      <c r="E5" s="101"/>
      <c r="F5" s="101"/>
      <c r="G5" s="102"/>
      <c r="H5" s="130" t="str">
        <f>'Clima Beam'!J5</f>
        <v>With casing</v>
      </c>
      <c r="I5" s="131"/>
      <c r="J5" s="12"/>
      <c r="L5" s="1" t="s">
        <v>62</v>
      </c>
      <c r="M5" s="1">
        <f>IF('Clima Beam'!$J$4=cal!$L$1,1,IF('Clima Beam'!$J$4=cal!$L$2,2,IF('Clima Beam'!$J$4=cal!$L$3,3,IF('Clima Beam'!$J$4=cal!$L$4,4,IF('Clima Beam'!$J$4=cal!$L$5,5,IF('Clima Beam'!$J$4=cal!$L$6,6,IF('Clima Beam'!$J$4=cal!$L$7,7,IF('Clima Beam'!$J$4=cal!$L$8,8,IF('Clima Beam'!$J$4=cal!$L$9,9,IF('Clima Beam'!$J$4=cal!$L$10,10,IF('Clima Beam'!$J$4=cal!$L$11,11,)))))))))))</f>
        <v>2</v>
      </c>
      <c r="N5" s="1">
        <v>1</v>
      </c>
      <c r="P5" s="11" t="str">
        <f>IF($M$5=1,NL!M11,IF($M$5=2,EN!M11,IF($M$5=3,DE!M11,IF($M$5=4,FR!M11,IF($M$5=5,NR!M11,IF($M$5=6,SP!M11,IF($M$5=7,SW!M11,IF($M$5=8,TS!M11,IF($M$5=9,ExtraTaal1!M11,IF($M$5=10,ExtraTaal2!M11,IF($M$5=11,ExtraTaal3!M11,)))))))))))</f>
        <v>Imperial-units</v>
      </c>
      <c r="AT5" s="11"/>
      <c r="AU5" s="11"/>
    </row>
    <row r="6" spans="1:81" s="1" customFormat="1" x14ac:dyDescent="0.25">
      <c r="A6" s="12"/>
      <c r="B6" s="13"/>
      <c r="C6" s="12"/>
      <c r="D6" s="100" t="str">
        <f>IF($M$5=1,NL!F6,IF($M$5=2,EN!F6,IF($M$5=3,DE!F6,IF($M$5=4,FR!F6,IF($M$5=5,NR!F6,IF($M$5=6,SP!F6,IF($M$5=7,SW!F6,IF($M$5=8,TS!F6,IF($M$5=9,ExtraTaal1!F6,IF($M$5=10,ExtraTaal2!F6,IF($M$5=11,ExtraTaal3!F6,)))))))))))</f>
        <v>Height [cm]:</v>
      </c>
      <c r="E6" s="101"/>
      <c r="F6" s="101"/>
      <c r="G6" s="102"/>
      <c r="H6" s="130" t="str">
        <f>'Clima Beam'!J6</f>
        <v>15,3</v>
      </c>
      <c r="I6" s="131"/>
      <c r="J6" s="12"/>
      <c r="L6" s="1" t="s">
        <v>63</v>
      </c>
      <c r="AT6" s="11"/>
      <c r="AU6" s="11"/>
    </row>
    <row r="7" spans="1:81" s="1" customFormat="1" x14ac:dyDescent="0.25">
      <c r="A7" s="12"/>
      <c r="B7" s="14"/>
      <c r="C7" s="12"/>
      <c r="D7" s="100" t="str">
        <f>IF($M$5=1,NL!F7,IF($M$5=2,EN!F7,IF($M$5=3,DE!F7,IF($M$5=4,FR!F7,IF($M$5=5,NR!F7,IF($M$5=6,SP!F7,IF($M$5=7,SW!F7,IF($M$5=8,TS!F7,IF($M$5=9,ExtraTaal1!F7,IF($M$5=10,ExtraTaal2!F7,IF($M$5=11,ExtraTaal3!F7,)))))))))))&amp;":"</f>
        <v>Fan speed:</v>
      </c>
      <c r="E7" s="101"/>
      <c r="F7" s="101"/>
      <c r="G7" s="102"/>
      <c r="H7" s="128" t="str">
        <f>'Clima Beam'!J7</f>
        <v>Comfort</v>
      </c>
      <c r="I7" s="129"/>
      <c r="J7" s="12" t="str">
        <f>IF(cal!H7=cal!O13,cal!P13,cal!P14)</f>
        <v>6V</v>
      </c>
      <c r="L7" s="1" t="s">
        <v>180</v>
      </c>
      <c r="AT7" s="11"/>
      <c r="AU7" s="11"/>
    </row>
    <row r="8" spans="1:81" s="1" customFormat="1" ht="6" customHeight="1" x14ac:dyDescent="0.25">
      <c r="A8" s="12"/>
      <c r="B8" s="15"/>
      <c r="C8" s="16"/>
      <c r="D8" s="16"/>
      <c r="E8" s="16"/>
      <c r="F8" s="16"/>
      <c r="G8" s="16"/>
      <c r="H8" s="18"/>
      <c r="I8" s="18"/>
      <c r="J8" s="16"/>
      <c r="K8" s="39"/>
      <c r="L8" s="11" t="s">
        <v>181</v>
      </c>
      <c r="AT8" s="11"/>
      <c r="AU8" s="11"/>
    </row>
    <row r="9" spans="1:81" s="1" customFormat="1" x14ac:dyDescent="0.25">
      <c r="A9" s="12"/>
      <c r="B9" s="17" t="str">
        <f>IF($M$5=1,NL!B9,IF($M$5=2,EN!B9,IF($M$5=3,DE!B9,IF($M$5=4,FR!B9,IF($M$5=5,NR!B9,IF($M$5=6,SP!B9,IF($M$5=7,SW!B9,IF($M$5=8,TS!B9,IF($M$5=9,ExtraTaal1!B9,IF($M$5=10,ExtraTaal2!B9,IF($M$5=11,ExtraTaal3!B9,)))))))))))</f>
        <v>Temperatures</v>
      </c>
      <c r="C9" s="18"/>
      <c r="D9" s="18"/>
      <c r="E9" s="18"/>
      <c r="F9" s="18"/>
      <c r="G9" s="18"/>
      <c r="H9" s="18"/>
      <c r="I9" s="18"/>
      <c r="J9" s="18"/>
      <c r="K9" s="40"/>
      <c r="L9" s="1" t="s">
        <v>182</v>
      </c>
      <c r="N9" s="1">
        <f>IF(N12=M13,1,2)</f>
        <v>2</v>
      </c>
      <c r="AT9" s="11"/>
      <c r="AU9" s="11"/>
    </row>
    <row r="10" spans="1:81" s="1" customFormat="1" ht="15.75" thickBot="1" x14ac:dyDescent="0.3">
      <c r="A10" s="12"/>
      <c r="B10" s="17" t="str">
        <f>IF($M$5=1,NL!B10,IF($M$5=2,EN!B10,IF($M$5=3,DE!B10,IF($M$5=4,FR!B10,IF($M$5=5,NR!B10,IF($M$5=6,SP!B10,IF($M$5=7,SW!B10,IF($M$5=8,TS!B10,IF($M$5=9,ExtraTaal1!B10,IF($M$5=10,ExtraTaal2!B10,IF($M$5=11,ExtraTaal3!B10,)))))))))))</f>
        <v>Heating:</v>
      </c>
      <c r="C10" s="19"/>
      <c r="D10" s="18"/>
      <c r="E10" s="18"/>
      <c r="F10" s="19" t="str">
        <f>IF($M$5=1,NL!F10,IF($M$5=2,EN!F10,IF($M$5=3,DE!F10,IF($M$5=4,FR!F10,IF($M$5=5,NR!F10,IF($M$5=6,SP!F10,IF($M$5=7,SW!F10,IF($M$5=8,TS!F10,IF($M$5=9,ExtraTaal1!F10,IF($M$5=10,ExtraTaal2!F10,IF($M$5=11,ExtraTaal3!F10,)))))))))))</f>
        <v>Cooling:</v>
      </c>
      <c r="G10" s="18"/>
      <c r="H10" s="18"/>
      <c r="I10" s="19"/>
      <c r="J10" s="111" t="str">
        <f>IF($M$5=1,NL!J10,IF($M$5=2,EN!J10,IF($M$5=3,DE!J10,IF($M$5=4,FR!J10,IF($M$5=5,NR!J10,IF($M$5=6,SP!J10,IF($M$5=7,SW!J10,IF($M$5=8,TS!J10,IF($M$5=9,ExtraTaal1!J10,IF($M$5=10,ExtraTaal2!J10,IF($M$5=11,ExtraTaal3!J10,)))))))))))</f>
        <v>Unit conversion</v>
      </c>
      <c r="K10" s="112">
        <f>IF($M$5=1,NL!K10,IF($M$5=2,EN!K10,IF($M$5=3,DE!K10,IF($M$5=4,FR!K10,IF($M$5=5,NR!K10,IF($M$5=6,SP!K10,IF($M$5=7,SW!K10,IF($M$5=8,TS!K10,IF($M$5=9,ExtraTaal1!K10,IF($M$5=10,ExtraTaal2!K10,IF($M$5=11,ExtraTaal3!K10,)))))))))))</f>
        <v>0</v>
      </c>
      <c r="L10" s="1" t="s">
        <v>183</v>
      </c>
      <c r="Q10" s="1" t="s">
        <v>46</v>
      </c>
      <c r="S10" s="1" t="s">
        <v>45</v>
      </c>
      <c r="AT10" s="11"/>
      <c r="AU10" s="11"/>
    </row>
    <row r="11" spans="1:81" s="1" customFormat="1" ht="15.75" thickTop="1" x14ac:dyDescent="0.25">
      <c r="A11" s="12"/>
      <c r="B11" s="41" t="str">
        <f>IF($M$5=1,NL!B11,IF($M$5=2,EN!B11,IF($M$5=3,DE!B11,IF($M$5=4,FR!B11,IF($M$5=5,NR!B11,IF($M$5=6,SP!B11,IF($M$5=7,SW!B11,IF($M$5=8,TS!B11,IF($M$5=9,ExtraTaal1!B11,IF($M$5=10,ExtraTaal2!B11,IF($M$5=11,ExtraTaal3!B11,)))))))))))</f>
        <v>Supply water</v>
      </c>
      <c r="C11" s="18"/>
      <c r="D11" s="2">
        <f>'Clima Beam'!D11</f>
        <v>75</v>
      </c>
      <c r="E11" s="18" t="str">
        <f>IF(UnitsNo=1,"°C",IF(UnitsNo=2,"°F",))</f>
        <v>°C</v>
      </c>
      <c r="F11" s="18" t="str">
        <f>IF($M$5=1,NL!F11,IF($M$5=2,EN!F11,IF($M$5=3,DE!F11,IF($M$5=4,FR!F11,IF($M$5=5,NR!F11,IF($M$5=6,SP!F11,IF($M$5=7,SW!F11,IF($M$5=8,TS!F11,IF($M$5=9,ExtraTaal1!F11,IF($M$5=10,ExtraTaal2!F11,IF($M$5=11,ExtraTaal3!F11,)))))))))))</f>
        <v>Supply water</v>
      </c>
      <c r="G11" s="18"/>
      <c r="H11" s="2">
        <f>'Clima Beam'!H11</f>
        <v>15.999999999999998</v>
      </c>
      <c r="I11" s="42" t="str">
        <f>E11</f>
        <v>°C</v>
      </c>
      <c r="J11" s="122"/>
      <c r="K11" s="123"/>
      <c r="L11" s="1" t="s">
        <v>184</v>
      </c>
      <c r="Q11" s="34">
        <f>IF(UnitsNo=1,D11,IF(UnitsNo=2,(D11-32)/1.8,))</f>
        <v>75</v>
      </c>
      <c r="S11" s="34">
        <f>IF(UnitsNo=1,H11,IF(UnitsNo=2,(H11-32)/1.8,))</f>
        <v>15.999999999999998</v>
      </c>
      <c r="AT11" s="11"/>
      <c r="AU11" s="11"/>
      <c r="BM11" s="1" t="s">
        <v>15</v>
      </c>
    </row>
    <row r="12" spans="1:81" s="1" customFormat="1" x14ac:dyDescent="0.25">
      <c r="A12" s="12"/>
      <c r="B12" s="41" t="str">
        <f>IF($M$5=1,NL!B12,IF($M$5=2,EN!B12,IF($M$5=3,DE!B12,IF($M$5=4,FR!B12,IF($M$5=5,NR!B12,IF($M$5=6,SP!B12,IF($M$5=7,SW!B12,IF($M$5=8,TS!B12,IF($M$5=9,ExtraTaal1!B12,IF($M$5=10,ExtraTaal2!B12,IF($M$5=11,ExtraTaal3!B12,)))))))))))</f>
        <v>Return water</v>
      </c>
      <c r="C12" s="18"/>
      <c r="D12" s="2">
        <f>'Clima Beam'!D12</f>
        <v>65</v>
      </c>
      <c r="E12" s="18" t="str">
        <f>E11</f>
        <v>°C</v>
      </c>
      <c r="F12" s="18" t="str">
        <f>IF($M$5=1,NL!F12,IF($M$5=2,EN!F12,IF($M$5=3,DE!F12,IF($M$5=4,FR!F12,IF($M$5=5,NR!F12,IF($M$5=6,SP!F12,IF($M$5=7,SW!F12,IF($M$5=8,TS!F12,IF($M$5=9,ExtraTaal1!F12,IF($M$5=10,ExtraTaal2!F12,IF($M$5=11,ExtraTaal3!F12,)))))))))))</f>
        <v>Return water</v>
      </c>
      <c r="G12" s="18"/>
      <c r="H12" s="2">
        <f>'Clima Beam'!H12</f>
        <v>18.000000000000004</v>
      </c>
      <c r="I12" s="18" t="str">
        <f>E11</f>
        <v>°C</v>
      </c>
      <c r="J12" s="124"/>
      <c r="K12" s="125"/>
      <c r="L12" s="1" t="s">
        <v>1</v>
      </c>
      <c r="N12" s="1" t="str">
        <f>'Clima Beam'!J5</f>
        <v>With casing</v>
      </c>
      <c r="Q12" s="34">
        <f>IF(UnitsNo=1,D12,IF(UnitsNo=2,(D12-32)/1.8,))</f>
        <v>65</v>
      </c>
      <c r="S12" s="34">
        <f>IF(UnitsNo=1,H12,IF(UnitsNo=2,(H12-32)/1.8,))</f>
        <v>18.000000000000004</v>
      </c>
      <c r="AT12" s="11"/>
      <c r="AU12" s="11"/>
      <c r="BM12" s="1" t="s">
        <v>16</v>
      </c>
    </row>
    <row r="13" spans="1:81" s="1" customFormat="1" x14ac:dyDescent="0.25">
      <c r="A13" s="12"/>
      <c r="B13" s="41" t="str">
        <f>IF($M$5=1,NL!B13,IF($M$5=2,EN!B13,IF($M$5=3,DE!B13,IF($M$5=4,FR!B13,IF($M$5=5,NR!B13,IF($M$5=6,SP!B13,IF($M$5=7,SW!B13,IF($M$5=8,TS!B13,IF($M$5=9,ExtraTaal1!B13,IF($M$5=10,ExtraTaal2!B13,IF($M$5=11,ExtraTaal3!B13,)))))))))))</f>
        <v>Entering air</v>
      </c>
      <c r="C13" s="18"/>
      <c r="D13" s="2">
        <f>'Clima Beam'!D13</f>
        <v>20</v>
      </c>
      <c r="E13" s="18" t="str">
        <f>E11</f>
        <v>°C</v>
      </c>
      <c r="F13" s="18" t="str">
        <f>IF($M$5=1,NL!F13,IF($M$5=2,EN!F13,IF($M$5=3,DE!F13,IF($M$5=4,FR!F13,IF($M$5=5,NR!F13,IF($M$5=6,SP!F13,IF($M$5=7,SW!F13,IF($M$5=8,TS!F13,IF($M$5=9,ExtraTaal1!F13,IF($M$5=10,ExtraTaal2!F13,IF($M$5=11,ExtraTaal3!F13,)))))))))))</f>
        <v>Entering air</v>
      </c>
      <c r="G13" s="18"/>
      <c r="H13" s="2">
        <f>'Clima Beam'!H13</f>
        <v>26.999999999999996</v>
      </c>
      <c r="I13" s="18" t="str">
        <f>E11</f>
        <v>°C</v>
      </c>
      <c r="J13" s="124"/>
      <c r="K13" s="125"/>
      <c r="L13" s="89" t="str">
        <f>"9,6"</f>
        <v>9,6</v>
      </c>
      <c r="M13" s="1" t="str">
        <f>IF($M$5=1,U13,IF($M$5=2,V13,IF($M$5=3,W13,IF($M$5=4,X13,IF($M$5=5,Y13,IF($M$5=6,Z13,IF($M$5=7,Y13,IF($M$5=8,AA13,IF($M$5=9,AA11,IF($M$5=10,AA9,IF($M$5=11,AA7,)))))))))))</f>
        <v>Built-in</v>
      </c>
      <c r="O13" s="1" t="s">
        <v>11</v>
      </c>
      <c r="P13" s="1" t="s">
        <v>13</v>
      </c>
      <c r="Q13" s="34">
        <f>IF(UnitsNo=1,D13,IF(UnitsNo=2,(D13-32)/1.8,))</f>
        <v>20</v>
      </c>
      <c r="S13" s="34">
        <f>IF(UnitsNo=1,H13,IF(UnitsNo=2,(H13-32)/1.8,))</f>
        <v>26.999999999999996</v>
      </c>
      <c r="U13" s="1" t="str">
        <f>NL!M5</f>
        <v>Inbouw</v>
      </c>
      <c r="V13" s="1" t="str">
        <f>EN!M5</f>
        <v>Built-in</v>
      </c>
      <c r="W13" s="1" t="str">
        <f>DE!M5</f>
        <v>Einbau</v>
      </c>
      <c r="X13" s="1" t="str">
        <f>FR!M5</f>
        <v>Intégré</v>
      </c>
      <c r="Y13" s="1" t="str">
        <f>NR!M5</f>
        <v>Innebygd</v>
      </c>
      <c r="Z13" s="1" t="str">
        <f>SP!$M$5</f>
        <v>Empotrado</v>
      </c>
      <c r="AA13" s="1" t="str">
        <f>TS!$M$5</f>
        <v>Vestavba</v>
      </c>
      <c r="AB13" s="71" t="str">
        <f>IF($M$5=1,U13,IF($M$5=2,V13,IF($M$5=3,W13,IF($M$5=4,X13,IF($M$5=5,Y13,IF($M$5=6,Z13,IF($M$5=7,Y13,IF($M$5=8,AA13,IF($M$5=9,AA11,IF($M$5=10,AA9,IF($M$5=11,AA7,)))))))))))</f>
        <v>Built-in</v>
      </c>
      <c r="AT13" s="11"/>
      <c r="AU13" s="11"/>
      <c r="BM13" s="1" t="s">
        <v>9</v>
      </c>
    </row>
    <row r="14" spans="1:81" s="1" customFormat="1" x14ac:dyDescent="0.25">
      <c r="A14" s="12"/>
      <c r="B14" s="20"/>
      <c r="C14" s="21"/>
      <c r="D14" s="22"/>
      <c r="E14" s="22"/>
      <c r="F14" s="22"/>
      <c r="G14" s="22"/>
      <c r="H14" s="22"/>
      <c r="I14" s="22"/>
      <c r="J14" s="126"/>
      <c r="K14" s="127"/>
      <c r="L14" s="89" t="str">
        <f>"15,3"</f>
        <v>15,3</v>
      </c>
      <c r="M14" s="1" t="str">
        <f>IF($M$5=1,U14,IF($M$5=2,V14,IF($M$5=3,W14,IF($M$5=4,X14,IF($M$5=5,Y14,IF($M$5=6,Z14,IF($M$5=7,Y14,IF($M$5=8,AA14,IF($M$5=9,AA12,IF($M$5=10,AA10,IF($M$5=11,AA8,)))))))))))</f>
        <v>With casing</v>
      </c>
      <c r="O14" s="1" t="s">
        <v>12</v>
      </c>
      <c r="P14" s="1" t="s">
        <v>14</v>
      </c>
      <c r="U14" s="1" t="str">
        <f>NL!M6</f>
        <v>Met omkasting</v>
      </c>
      <c r="V14" s="1" t="str">
        <f>EN!M6</f>
        <v>With casing</v>
      </c>
      <c r="W14" s="1" t="str">
        <f>DE!M6</f>
        <v>mit Verkleidung</v>
      </c>
      <c r="X14" s="1" t="str">
        <f>FR!M6</f>
        <v>Avec caisson</v>
      </c>
      <c r="Y14" s="1" t="str">
        <f>NR!M6</f>
        <v>Med hus</v>
      </c>
      <c r="Z14" s="1" t="str">
        <f>SP!$M$6</f>
        <v>Con Carcasa</v>
      </c>
      <c r="AA14" s="1" t="str">
        <f>TS!$M$6</f>
        <v>s pouzdrem</v>
      </c>
      <c r="AB14" s="71" t="str">
        <f>IF($M$5=1,U14,IF($M$5=2,V14,IF($M$5=3,W14,IF($M$5=4,X14,IF($M$5=5,Y14,IF($M$5=6,Z14,IF($M$5=7,Y14,IF($M$5=8,AA14,IF($M$5=9,AA12,IF($M$5=10,AA10,IF($M$5=11,AA8,)))))))))))</f>
        <v>With casing</v>
      </c>
      <c r="AT14" s="11"/>
      <c r="BM14" s="1" t="s">
        <v>10</v>
      </c>
    </row>
    <row r="15" spans="1:81" s="1" customFormat="1" ht="14.1" customHeight="1" x14ac:dyDescent="0.25">
      <c r="A15" s="12"/>
      <c r="B15" s="12"/>
      <c r="C15" s="12"/>
      <c r="D15" s="12"/>
      <c r="E15" s="12"/>
      <c r="F15" s="44"/>
      <c r="G15" s="44"/>
      <c r="H15" s="45"/>
      <c r="I15" s="45"/>
      <c r="J15" s="12"/>
      <c r="L15" s="89" t="str">
        <f>"25,3"</f>
        <v>25,3</v>
      </c>
      <c r="M15" s="1">
        <f>IF($H$5=U13,33,IF($H$5=V13,33,IF($H$5=W13,33,IF($H$5=X13,33,IF($H$5=Y13,33,IF($H$5=Z13,33,IF($H$5=AA13,33,IF($H$5=AA11,33,IF($H$5=AA9,33,IF($H$5=AA7,33,IF($H$5=U14,36,IF($H$5=V14,36,IF($H$5=W14,36,IF($H$5=X14,36,IF($H$5=Y14,36,IF($H$5=Z14,36,IF($H$5=AA14,36,IF($H$5=AA12,36,IF($H$5=AA10,36,IF($H$5=AA8,36,))))))))))))))))))))</f>
        <v>36</v>
      </c>
      <c r="AT15" s="11"/>
      <c r="BM15" s="1" t="s">
        <v>21</v>
      </c>
    </row>
    <row r="16" spans="1:81" s="1" customFormat="1" ht="114.95" customHeight="1" x14ac:dyDescent="0.25">
      <c r="A16" s="12"/>
      <c r="B16" s="55" t="str">
        <f>IF($M$5=1,NL!B16,IF($M$5=2,EN!B16,IF($M$5=3,DE!B16,IF($M$5=4,FR!B16,IF($M$5=5,NR!B16,IF($M$5=6,SP!B16,IF($M$5=7,SW!B16,IF($M$5=8,TS!B16,IF($M$5=9,ExtraTaal1!B16,IF($M$5=10,ExtraTaal2!B16,IF($M$5=11,ExtraTaal3!B16,)))))))))))</f>
        <v>Length [cm]</v>
      </c>
      <c r="C16" s="56" t="str">
        <f>IF($M$5=1,NL!C16,IF($M$5=2,EN!C16,IF($M$5=3,DE!C16,IF($M$5=4,FR!C16,IF($M$5=5,NR!C16,IF($M$5=6,SP!C16,IF($M$5=7,SW!C16,IF($M$5=8,TS!C16,IF($M$5=9,ExtraTaal1!C16,IF($M$5=10,ExtraTaal2!C16,IF($M$5=11,ExtraTaal3!C16,)))))))))))</f>
        <v>Heating capacity in [W]</v>
      </c>
      <c r="D16" s="57" t="str">
        <f>IF($M$5=1,NL!D16,IF($M$5=2,EN!D16,IF($M$5=3,DE!D16,IF($M$5=4,FR!D16,IF($M$5=5,NR!D16,IF($M$5=6,SP!D16,IF($M$5=7,SW!D16,IF($M$5=8,TS!D16,IF($M$5=9,ExtraTaal1!D16,IF($M$5=10,ExtraTaal2!D16,IF($M$5=11,ExtraTaal3!D16,)))))))))))</f>
        <v>Water flowrate, heating in [l/h]</v>
      </c>
      <c r="E16" s="54" t="str">
        <f>IF($M$5=1,NL!E16,IF($M$5=2,EN!E16,IF($M$5=3,DE!E16,IF($M$5=4,FR!E16,IF($M$5=5,NR!E16,IF($M$5=6,SP!E16,IF($M$5=7,SW!E16,IF($M$5=8,TS!E16,IF($M$5=9,ExtraTaal1!E16,IF($M$5=10,ExtraTaal2!E16,IF($M$5=11,ExtraTaal3!E16,)))))))))))</f>
        <v>Water side pressure loss [kPa]</v>
      </c>
      <c r="F16" s="58" t="str">
        <f>IF($M$5=1,NL!F16,IF($M$5=2,EN!F16,IF($M$5=3,DE!F16,IF($M$5=4,FR!F16,IF($M$5=5,NR!F16,IF($M$5=6,SP!F16,IF($M$5=7,SW!F16,IF($M$5=8,TS!F16,IF($M$5=9,ExtraTaal1!F16,IF($M$5=10,ExtraTaal2!F16,IF($M$5=11,ExtraTaal3!F16,)))))))))))</f>
        <v>Sens. cooling capacity in [W]</v>
      </c>
      <c r="G16" s="57" t="str">
        <f>IF($M$5=1,NL!G16,IF($M$5=2,EN!G16,IF($M$5=3,DE!G16,IF($M$5=4,FR!G16,IF($M$5=5,NR!G16,IF($M$5=6,SP!G16,IF($M$5=7,SW!G16,IF($M$5=8,TS!G16,IF($M$5=9,ExtraTaal1!G16,IF($M$5=10,ExtraTaal2!G16,IF($M$5=11,ExtraTaal3!G16,)))))))))))</f>
        <v>Water flowrate, cooling in [l/h]</v>
      </c>
      <c r="H16" s="57" t="str">
        <f>IF($M$5=1,NL!H16,IF($M$5=2,EN!H16,IF($M$5=3,DE!H16,IF($M$5=4,FR!H16,IF($M$5=5,NR!H16,IF($M$5=6,SP!H16,IF($M$5=7,SW!H16,IF($M$5=8,TS!H16,IF($M$5=9,ExtraTaal1!H16,IF($M$5=10,ExtraTaal2!H16,IF($M$5=11,ExtraTaal3!H16,)))))))))))</f>
        <v>Water side pressure loss [kPa]</v>
      </c>
      <c r="I16" s="48" t="str">
        <f>IF($M$5=1,NL!I16,IF($M$5=2,EN!I16,IF($M$5=3,DE!I16,IF($M$5=4,FR!I16,IF($M$5=5,NR!I16,IF($M$5=6,SP!I16,IF($M$5=7,SW!I16,IF($M$5=8,TS!I16,IF($M$5=9,ExtraTaal1!I16,IF($M$5=10,ExtraTaal2!I16,IF($M$5=11,ExtraTaal3!I16,)))))))))))</f>
        <v>Air flowrate [m³/h]</v>
      </c>
      <c r="J16" s="49" t="str">
        <f>IF($M$5=1,NL!J16,IF($M$5=2,EN!J16,IF($M$5=3,DE!J16,IF($M$5=4,FR!J16,IF($M$5=5,NR!J16,IF($M$5=6,SP!J16,IF($M$5=7,SW!J16,IF($M$5=8,TS!J16,IF($M$5=9,ExtraTaal1!J16,IF($M$5=10,ExtraTaal2!J16,IF($M$5=11,ExtraTaal3!J16,)))))))))))</f>
        <v>Sound pressure* [dB(A)]</v>
      </c>
      <c r="K16" s="50" t="str">
        <f>IF($M$5=1,NL!K16,IF($M$5=2,EN!K16,IF($M$5=3,DE!K16,IF($M$5=4,FR!K16,IF($M$5=5,NR!K16,IF($M$5=6,SP!K16,IF($M$5=7,SW!K16,IF($M$5=8,TS!K16,IF($M$5=9,ExtraTaal1!K16,IF($M$5=10,ExtraTaal2!K16,IF($M$5=11,ExtraTaal3!K16,)))))))))))</f>
        <v>Electric power [W]</v>
      </c>
      <c r="L16" s="1" t="str">
        <f>IF($H$6="15,3","20",IF($H$6="25,3","21","8"))</f>
        <v>20</v>
      </c>
      <c r="BD16" s="72">
        <f>0.7-0.42</f>
        <v>0.27999999999999997</v>
      </c>
      <c r="BM16" s="1" t="s">
        <v>22</v>
      </c>
      <c r="CB16" s="1" t="s">
        <v>203</v>
      </c>
      <c r="CC16" s="89"/>
    </row>
    <row r="17" spans="1:84" s="1" customFormat="1" ht="15" customHeight="1" x14ac:dyDescent="0.25">
      <c r="A17" s="23"/>
      <c r="B17" s="95" t="str">
        <f>IF($M$5=1,NL!B17,IF($M$5=2,EN!B17,IF($M$5=3,DE!B17,IF($M$5=4,FR!B17,IF($M$5=5,NR!B17,IF($M$5=6,SP!B17,IF($M$5=7,SW!B17,IF($M$5=8,TS!B17,IF($M$5=9,ExtraTaal1!B17,IF($M$5=10,ExtraTaal2!B17,IF($M$5=11,ExtraTaal3!B17,)))))))))))</f>
        <v>Clima Beam -  H15,3 B36 Type 20</v>
      </c>
      <c r="C17" s="96">
        <f>IF($M$5=1,NL!C17,IF($M$5=2,EN!C17,IF($M$5=3,DE!C17,IF($M$5=4,FR!C17,IF($M$5=5,NR!C17,IF($M$5=6,SP!C17,IF($M$5=7,SW!C17,IF($M$5=8,TS!C17,IF($M$5=9,ExtraTaal1!C17,IF($M$5=10,ExtraTaal2!C17,IF($M$5=11,ExtraTaal3!C17,)))))))))))</f>
        <v>0</v>
      </c>
      <c r="D17" s="96">
        <f>IF($M$5=1,NL!D17,IF($M$5=2,EN!D17,IF($M$5=3,DE!D17,IF($M$5=4,FR!D17,IF($M$5=5,NR!D17,IF($M$5=6,SP!D17,IF($M$5=7,SW!D17,IF($M$5=8,TS!D17,IF($M$5=9,ExtraTaal1!D17,IF($M$5=10,ExtraTaal2!D17,IF($M$5=11,ExtraTaal3!D17,)))))))))))</f>
        <v>0</v>
      </c>
      <c r="E17" s="96">
        <f>IF($M$5=1,NL!E17,IF($M$5=2,EN!E17,IF($M$5=3,DE!E17,IF($M$5=4,FR!E17,IF($M$5=5,NR!E17,IF($M$5=6,SP!E17,IF($M$5=7,SW!E17,IF($M$5=8,TS!E17,IF($M$5=9,ExtraTaal1!E17,IF($M$5=10,ExtraTaal2!E17,IF($M$5=11,ExtraTaal3!E17,)))))))))))</f>
        <v>0</v>
      </c>
      <c r="F17" s="96">
        <f>IF($M$5=1,NL!F17,IF($M$5=2,EN!F17,IF($M$5=3,DE!F17,IF($M$5=4,FR!F17,IF($M$5=5,NR!F17,IF($M$5=6,SP!F17,IF($M$5=7,SW!F17,IF($M$5=8,TS!F17,IF($M$5=9,ExtraTaal1!F17,IF($M$5=10,ExtraTaal2!F17,IF($M$5=11,ExtraTaal3!F17,)))))))))))</f>
        <v>0</v>
      </c>
      <c r="G17" s="96">
        <f>IF($M$5=1,NL!G17,IF($M$5=2,EN!G17,IF($M$5=3,DE!G17,IF($M$5=4,FR!G17,IF($M$5=5,NR!G17,IF($M$5=6,SP!G17,IF($M$5=7,SW!G17,IF($M$5=8,TS!G17,IF($M$5=9,ExtraTaal1!G17,IF($M$5=10,ExtraTaal2!G17,IF($M$5=11,ExtraTaal3!G17,)))))))))))</f>
        <v>0</v>
      </c>
      <c r="H17" s="96">
        <f>IF($M$5=1,NL!H17,IF($M$5=2,EN!H17,IF($M$5=3,DE!H17,IF($M$5=4,FR!H17,IF($M$5=5,NR!H17,IF($M$5=6,SP!H17,IF($M$5=7,SW!H17,IF($M$5=8,TS!H17,IF($M$5=9,ExtraTaal1!H17,IF($M$5=10,ExtraTaal2!H17,IF($M$5=11,ExtraTaal3!H17,)))))))))))</f>
        <v>0</v>
      </c>
      <c r="I17" s="97">
        <f>IF($M$5=1,NL!I17,IF($M$5=2,EN!I17,IF($M$5=3,DE!I17,IF($M$5=4,FR!I17,IF($M$5=5,NR!I17,IF($M$5=6,SP!I17,IF($M$5=7,SW!I17,IF($M$5=8,TS!I17,IF($M$5=9,ExtraTaal1!I17,IF($M$5=10,ExtraTaal2!I17,IF($M$5=11,ExtraTaal3!I17,)))))))))))</f>
        <v>0</v>
      </c>
      <c r="J17" s="97">
        <f>IF($M$5=1,NL!J17,IF($M$5=2,EN!J17,IF($M$5=3,DE!J17,IF($M$5=4,FR!J17,IF($M$5=5,NR!J17,IF($M$5=6,SP!J17,IF($M$5=7,SW!J17,IF($M$5=8,TS!J17,IF($M$5=9,ExtraTaal1!J17,IF($M$5=10,ExtraTaal2!J17,IF($M$5=11,ExtraTaal3!J17,)))))))))))</f>
        <v>0</v>
      </c>
      <c r="K17" s="98">
        <f>IF($M$5=1,NL!K17,IF($M$5=2,EN!K17,IF($M$5=3,DE!K17,IF($M$5=4,FR!K17,IF($M$5=5,NR!K17,IF($M$5=6,SP!K17,IF($M$5=7,SW!K17,IF($M$5=8,TS!K17,IF($M$5=9,ExtraTaal1!K17,IF($M$5=10,ExtraTaal2!K17,IF($M$5=11,ExtraTaal3!K17,)))))))))))</f>
        <v>0</v>
      </c>
      <c r="V17" s="1" t="s">
        <v>67</v>
      </c>
      <c r="W17" s="1" t="s">
        <v>68</v>
      </c>
      <c r="X17" s="1" t="s">
        <v>69</v>
      </c>
      <c r="Y17" s="1" t="s">
        <v>70</v>
      </c>
    </row>
    <row r="18" spans="1:84" x14ac:dyDescent="0.25">
      <c r="B18" s="59">
        <v>70</v>
      </c>
      <c r="C18" s="24">
        <f>VLOOKUP($B18,$M$22:$BU$33,3+$L$18+$M$18+$P$18,TRUE)*((($Q$11-$Q$12)/LN(($Q$11-$Q$13)/($Q$12-$Q$13)))/((75-65)/LN((75-20)/(65-20))))</f>
        <v>787.03870387038705</v>
      </c>
      <c r="D18" s="60">
        <f>C18/(($Q$11-$Q$12)*1.163)</f>
        <v>67.673147366327342</v>
      </c>
      <c r="E18" s="65">
        <f>IF(POWER((D18/1000)/CB22,2)*100&lt;0.1,0.1,POWER((D18/1000)/CB22,2)*100)</f>
        <v>0.1</v>
      </c>
      <c r="F18" s="24">
        <f>VLOOKUP($B18,$M$22:$BU$33,1+$L$18+$M$18+$P$18,TRUE)*((($S$11-$S$12)/LN(($S$11-$S$13)/($S$12-$S$13)))/((16-18)/LN((16-27)/(18-27))))</f>
        <v>169.57695769576955</v>
      </c>
      <c r="G18" s="60">
        <f t="shared" ref="G18:G29" si="0">F18/(($S$12-$S$11)*1.163)</f>
        <v>72.904968914776049</v>
      </c>
      <c r="H18" s="86">
        <f>IF(POWER((G18/1000)/CB22,2)*100&lt;0.1,0.1,POWER((G18/1000)/CB22,2)*100)</f>
        <v>0.1</v>
      </c>
      <c r="I18" s="24">
        <f>IF(VLOOKUP($B18,$M$22:$BU$33,5+$L$18+$M$18+$P$18,TRUE)=0,"///////////",VLOOKUP($B18,$M$22:$BU$33,5+$L$18+$M$18+$P$18,TRUE))</f>
        <v>55</v>
      </c>
      <c r="J18" s="26">
        <f>IF(VLOOKUP($B18,$M$22:$BU$33,7+$L$18+$M$18+$P$18,TRUE)=0,"////////////",VLOOKUP($B18,$M$22:$BU$33,7+$L$18+$M$18+$P$18,TRUE))</f>
        <v>17</v>
      </c>
      <c r="K18" s="25">
        <f>IF(VLOOKUP($B18,$M$22:$BU$33,9+$L$18+$M$18+$P$18,TRUE)=0,"///////////",VLOOKUP($B18,$M$22:$BU$33,9+$L$18+$M$18+$P$18,TRUE))</f>
        <v>5</v>
      </c>
      <c r="L18" s="3">
        <f>IF(L16="20",1,IF(L16="21",11,41))</f>
        <v>1</v>
      </c>
      <c r="M18" s="3">
        <f>IF(L16="8",IF(M15=33,0,IF(M15=36,10,)),IF(M15=33,0,IF(M15=36,20,)))</f>
        <v>20</v>
      </c>
      <c r="N18" s="1"/>
      <c r="O18" s="1"/>
      <c r="P18" s="3">
        <f>IF(J7="6V",0,1)</f>
        <v>0</v>
      </c>
      <c r="T18" s="120" t="s">
        <v>66</v>
      </c>
      <c r="U18" s="121"/>
      <c r="V18" s="66">
        <f>IF($L$16="20",V$19,IF($L$16="21",AF$19,BJ$19))</f>
        <v>1.2799999999999999E-4</v>
      </c>
      <c r="W18" s="66">
        <f t="shared" ref="W18:Y18" si="1">IF($L$16="20",W$19,IF($L$16="21",AG$19,BK$19))</f>
        <v>1.722</v>
      </c>
      <c r="X18" s="66">
        <f t="shared" si="1"/>
        <v>2</v>
      </c>
      <c r="Y18" s="66">
        <f t="shared" si="1"/>
        <v>3.6999999999999999E-4</v>
      </c>
      <c r="BM18" s="1"/>
      <c r="CB18" s="11" t="s">
        <v>202</v>
      </c>
      <c r="CC18" s="11">
        <v>9.6</v>
      </c>
      <c r="CD18" s="11">
        <v>15.3</v>
      </c>
      <c r="CE18" s="11">
        <v>25.3</v>
      </c>
    </row>
    <row r="19" spans="1:84" ht="15" customHeight="1" thickBot="1" x14ac:dyDescent="0.3">
      <c r="B19" s="62">
        <v>90</v>
      </c>
      <c r="C19" s="27">
        <f>VLOOKUP($B19,$M$22:$BU$33,3+$L$18+$M$18+$P$18,TRUE)*((($Q$11-$Q$12)/LN(($Q$11-$Q$13)/($Q$12-$Q$13)))/((75-65)/LN((75-20)/(65-20))))</f>
        <v>1180.5580558055806</v>
      </c>
      <c r="D19" s="51">
        <f>C19/(($Q$11-$Q$12)*1.163)</f>
        <v>101.50972104949102</v>
      </c>
      <c r="E19" s="65">
        <f>IF(POWER((D19/1000)/CB23,2)*100&lt;0.1,0.1,POWER((D19/1000)/CB23,2)*100)</f>
        <v>0.1</v>
      </c>
      <c r="F19" s="27">
        <f>VLOOKUP($B19,$M$22:$BU$33,1+$L$18+$M$18+$P$18,TRUE)*((($S$11-$S$12)/LN(($S$11-$S$13)/($S$12-$S$13)))/((16-18)/LN((16-27)/(18-27))))</f>
        <v>254.36543654365434</v>
      </c>
      <c r="G19" s="51">
        <f t="shared" si="0"/>
        <v>109.35745337216409</v>
      </c>
      <c r="H19" s="86">
        <f>IF(POWER((G19/1000)/CB23,2)*100&lt;0.1,0.1,POWER((G19/1000)/CB23,2)*100)</f>
        <v>0.1</v>
      </c>
      <c r="I19" s="27">
        <f>IF(VLOOKUP($B19,$M$22:$BU$33,5+$L$18+$M$18+$P$18,TRUE)=0,"///////////",VLOOKUP($B19,$M$22:$BU$33,5+$L$18+$M$18+$P$18,TRUE))</f>
        <v>92</v>
      </c>
      <c r="J19" s="29">
        <f>IF(VLOOKUP($B19,$M$22:$BU$33,7+$L$18+$M$18+$P$18,TRUE)=0,"///////////",VLOOKUP($B19,$M$22:$BU$33,7+$L$18+$M$18+$P$18,TRUE))</f>
        <v>19</v>
      </c>
      <c r="K19" s="28">
        <f>IF(VLOOKUP($B19,$M$22:$BU$33,9+$L$18+$M$18+$P$18,TRUE)=0,"///////////",VLOOKUP($B19,$M$22:$BU$33,9+$L$18+$M$18+$P$18,TRUE))</f>
        <v>7.0106999999999999</v>
      </c>
      <c r="T19" s="120" t="s">
        <v>66</v>
      </c>
      <c r="U19" s="121"/>
      <c r="V19" s="66">
        <v>1.2799999999999999E-4</v>
      </c>
      <c r="W19" s="66">
        <v>1.722</v>
      </c>
      <c r="X19" s="66">
        <v>2</v>
      </c>
      <c r="Y19" s="66">
        <v>3.6999999999999999E-4</v>
      </c>
      <c r="AD19" s="120" t="s">
        <v>66</v>
      </c>
      <c r="AE19" s="121"/>
      <c r="AF19" s="66">
        <v>1.2799999999999999E-4</v>
      </c>
      <c r="AG19" s="66">
        <v>1.722</v>
      </c>
      <c r="AH19" s="66">
        <v>4</v>
      </c>
      <c r="AI19" s="66">
        <v>5.44E-4</v>
      </c>
      <c r="AN19" s="120" t="s">
        <v>66</v>
      </c>
      <c r="AO19" s="121"/>
      <c r="AP19" s="66"/>
      <c r="AQ19" s="66"/>
      <c r="AR19" s="66"/>
      <c r="AS19" s="66"/>
      <c r="AX19" s="120" t="s">
        <v>66</v>
      </c>
      <c r="AY19" s="121"/>
      <c r="AZ19" s="66"/>
      <c r="BA19" s="66"/>
      <c r="BB19" s="66"/>
      <c r="BC19" s="66"/>
      <c r="BH19" s="120" t="s">
        <v>66</v>
      </c>
      <c r="BI19" s="121"/>
      <c r="BJ19" s="83">
        <v>9.3700000000000001E-4</v>
      </c>
      <c r="BK19" s="84">
        <v>1.7889999999999999</v>
      </c>
      <c r="BL19" s="84">
        <v>4</v>
      </c>
      <c r="BM19" s="85">
        <v>1.39E-3</v>
      </c>
    </row>
    <row r="20" spans="1:84" ht="15" customHeight="1" x14ac:dyDescent="0.25">
      <c r="B20" s="62">
        <v>100</v>
      </c>
      <c r="C20" s="27">
        <f t="shared" ref="C20:C29" si="2">VLOOKUP($B20,$M$22:$BU$33,3+$L$18+$M$18+$P$18,TRUE)*((($Q$11-$Q$12)/LN(($Q$11-$Q$13)/($Q$12-$Q$13)))/((75-65)/LN((75-20)/(65-20))))</f>
        <v>1377.3177317731775</v>
      </c>
      <c r="D20" s="51">
        <f t="shared" ref="D20:D29" si="3">C20/(($Q$11-$Q$12)*1.163)</f>
        <v>118.42800789107287</v>
      </c>
      <c r="E20" s="65">
        <f t="shared" ref="E20:E29" si="4">POWER((D20/1000)/CB24,2)*100</f>
        <v>5.872755814172359E-2</v>
      </c>
      <c r="F20" s="27">
        <f t="shared" ref="F20:F29" si="5">VLOOKUP($B20,$M$22:$BU$33,1+$L$18+$M$18+$P$18,TRUE)*((($S$11-$S$12)/LN(($S$11-$S$13)/($S$12-$S$13)))/((16-18)/LN((16-27)/(18-27))))</f>
        <v>296.75967596759671</v>
      </c>
      <c r="G20" s="51">
        <f t="shared" si="0"/>
        <v>127.58369560085808</v>
      </c>
      <c r="H20" s="90">
        <f t="shared" ref="H20:H29" si="6">POWER((G20/1000)/CB24,2)*100</f>
        <v>6.8159037851902637E-2</v>
      </c>
      <c r="I20" s="27">
        <f t="shared" ref="I20:I29" si="7">IF(VLOOKUP($B20,$M$22:$BU$33,5+$L$18+$M$18+$P$18,TRUE)=0,"///////////",VLOOKUP($B20,$M$22:$BU$33,5+$L$18+$M$18+$P$18,TRUE))</f>
        <v>110</v>
      </c>
      <c r="J20" s="29">
        <f t="shared" ref="J20:J29" si="8">IF(VLOOKUP($B20,$M$22:$BU$33,7+$L$18+$M$18+$P$18,TRUE)=0,"///////////",VLOOKUP($B20,$M$22:$BU$33,7+$L$18+$M$18+$P$18,TRUE))</f>
        <v>20</v>
      </c>
      <c r="K20" s="28">
        <f t="shared" ref="K20:K29" si="9">IF(VLOOKUP($B20,$M$22:$BU$33,9+$L$18+$M$18+$P$18,TRUE)=0,"///////////",VLOOKUP($B20,$M$22:$BU$33,9+$L$18+$M$18+$P$18,TRUE))</f>
        <v>8</v>
      </c>
      <c r="M20" s="1"/>
      <c r="N20" s="133" t="s">
        <v>5</v>
      </c>
      <c r="O20" s="134"/>
      <c r="P20" s="134"/>
      <c r="Q20" s="134"/>
      <c r="R20" s="134"/>
      <c r="S20" s="134"/>
      <c r="T20" s="135"/>
      <c r="U20" s="136"/>
      <c r="V20" s="136"/>
      <c r="W20" s="137"/>
      <c r="X20" s="138" t="s">
        <v>6</v>
      </c>
      <c r="Y20" s="139"/>
      <c r="Z20" s="139"/>
      <c r="AA20" s="139"/>
      <c r="AB20" s="139"/>
      <c r="AC20" s="139"/>
      <c r="AD20" s="139"/>
      <c r="AE20" s="139"/>
      <c r="AF20" s="139"/>
      <c r="AG20" s="141"/>
      <c r="AH20" s="138" t="s">
        <v>7</v>
      </c>
      <c r="AI20" s="139"/>
      <c r="AJ20" s="139"/>
      <c r="AK20" s="139"/>
      <c r="AL20" s="139"/>
      <c r="AM20" s="139"/>
      <c r="AN20" s="139"/>
      <c r="AO20" s="139"/>
      <c r="AP20" s="139"/>
      <c r="AQ20" s="141"/>
      <c r="AR20" s="138" t="s">
        <v>8</v>
      </c>
      <c r="AS20" s="139"/>
      <c r="AT20" s="139"/>
      <c r="AU20" s="139"/>
      <c r="AV20" s="139"/>
      <c r="AW20" s="139"/>
      <c r="AX20" s="139"/>
      <c r="AY20" s="139"/>
      <c r="AZ20" s="139"/>
      <c r="BA20" s="140"/>
      <c r="BB20" s="138" t="s">
        <v>131</v>
      </c>
      <c r="BC20" s="139"/>
      <c r="BD20" s="139"/>
      <c r="BE20" s="139"/>
      <c r="BF20" s="139"/>
      <c r="BG20" s="139"/>
      <c r="BH20" s="139"/>
      <c r="BI20" s="139"/>
      <c r="BJ20" s="139"/>
      <c r="BK20" s="141"/>
      <c r="BL20" s="138" t="s">
        <v>130</v>
      </c>
      <c r="BM20" s="139"/>
      <c r="BN20" s="139"/>
      <c r="BO20" s="139"/>
      <c r="BP20" s="139"/>
      <c r="BQ20" s="139"/>
      <c r="BR20" s="139"/>
      <c r="BS20" s="139"/>
      <c r="BT20" s="139"/>
      <c r="BU20" s="140"/>
      <c r="CC20" s="142" t="s">
        <v>200</v>
      </c>
      <c r="CD20" s="142"/>
      <c r="CE20" s="142"/>
    </row>
    <row r="21" spans="1:84" ht="15" customHeight="1" x14ac:dyDescent="0.25">
      <c r="B21" s="62">
        <v>120</v>
      </c>
      <c r="C21" s="27">
        <f t="shared" si="2"/>
        <v>1770.837083708371</v>
      </c>
      <c r="D21" s="51">
        <f t="shared" si="3"/>
        <v>152.26458157423653</v>
      </c>
      <c r="E21" s="65">
        <f t="shared" si="4"/>
        <v>9.8852301202552825E-2</v>
      </c>
      <c r="F21" s="27">
        <f t="shared" si="5"/>
        <v>381.54815481548155</v>
      </c>
      <c r="G21" s="51">
        <f t="shared" si="0"/>
        <v>164.03618005824615</v>
      </c>
      <c r="H21" s="90">
        <f t="shared" si="6"/>
        <v>0.11472770114420326</v>
      </c>
      <c r="I21" s="27">
        <f t="shared" si="7"/>
        <v>146</v>
      </c>
      <c r="J21" s="29">
        <f t="shared" si="8"/>
        <v>21</v>
      </c>
      <c r="K21" s="28">
        <f t="shared" si="9"/>
        <v>9.6999999999999993</v>
      </c>
      <c r="M21" s="1"/>
      <c r="N21" s="7" t="s">
        <v>17</v>
      </c>
      <c r="O21" s="5" t="s">
        <v>18</v>
      </c>
      <c r="P21" s="5" t="s">
        <v>19</v>
      </c>
      <c r="Q21" s="5" t="s">
        <v>20</v>
      </c>
      <c r="R21" s="5" t="s">
        <v>15</v>
      </c>
      <c r="S21" s="5" t="s">
        <v>16</v>
      </c>
      <c r="T21" s="5" t="s">
        <v>9</v>
      </c>
      <c r="U21" s="5" t="s">
        <v>10</v>
      </c>
      <c r="V21" s="5" t="s">
        <v>21</v>
      </c>
      <c r="W21" s="8" t="s">
        <v>22</v>
      </c>
      <c r="X21" s="7" t="s">
        <v>3</v>
      </c>
      <c r="Y21" s="5" t="s">
        <v>4</v>
      </c>
      <c r="Z21" s="5" t="s">
        <v>3</v>
      </c>
      <c r="AA21" s="5" t="s">
        <v>4</v>
      </c>
      <c r="AB21" s="5" t="s">
        <v>15</v>
      </c>
      <c r="AC21" s="5" t="s">
        <v>16</v>
      </c>
      <c r="AD21" s="5" t="s">
        <v>9</v>
      </c>
      <c r="AE21" s="5" t="s">
        <v>10</v>
      </c>
      <c r="AF21" s="5" t="s">
        <v>21</v>
      </c>
      <c r="AG21" s="8" t="s">
        <v>22</v>
      </c>
      <c r="AH21" s="7" t="s">
        <v>3</v>
      </c>
      <c r="AI21" s="5" t="s">
        <v>4</v>
      </c>
      <c r="AJ21" s="5" t="s">
        <v>3</v>
      </c>
      <c r="AK21" s="5" t="s">
        <v>4</v>
      </c>
      <c r="AL21" s="5" t="s">
        <v>15</v>
      </c>
      <c r="AM21" s="5" t="s">
        <v>16</v>
      </c>
      <c r="AN21" s="5" t="s">
        <v>9</v>
      </c>
      <c r="AO21" s="5" t="s">
        <v>10</v>
      </c>
      <c r="AP21" s="5" t="s">
        <v>21</v>
      </c>
      <c r="AQ21" s="8" t="s">
        <v>22</v>
      </c>
      <c r="AR21" s="7" t="s">
        <v>3</v>
      </c>
      <c r="AS21" s="5" t="s">
        <v>4</v>
      </c>
      <c r="AT21" s="5" t="s">
        <v>3</v>
      </c>
      <c r="AU21" s="5" t="s">
        <v>4</v>
      </c>
      <c r="AV21" s="5" t="s">
        <v>15</v>
      </c>
      <c r="AW21" s="5" t="s">
        <v>16</v>
      </c>
      <c r="AX21" s="5" t="s">
        <v>9</v>
      </c>
      <c r="AY21" s="5" t="s">
        <v>10</v>
      </c>
      <c r="AZ21" s="5" t="s">
        <v>21</v>
      </c>
      <c r="BA21" s="8" t="s">
        <v>22</v>
      </c>
      <c r="BB21" s="7" t="s">
        <v>3</v>
      </c>
      <c r="BC21" s="5" t="s">
        <v>4</v>
      </c>
      <c r="BD21" s="5" t="s">
        <v>3</v>
      </c>
      <c r="BE21" s="5" t="s">
        <v>4</v>
      </c>
      <c r="BF21" s="5" t="s">
        <v>15</v>
      </c>
      <c r="BG21" s="5" t="s">
        <v>16</v>
      </c>
      <c r="BH21" s="5" t="s">
        <v>9</v>
      </c>
      <c r="BI21" s="5" t="s">
        <v>10</v>
      </c>
      <c r="BJ21" s="5" t="s">
        <v>21</v>
      </c>
      <c r="BK21" s="8" t="s">
        <v>22</v>
      </c>
      <c r="BL21" s="7" t="s">
        <v>3</v>
      </c>
      <c r="BM21" s="5" t="s">
        <v>4</v>
      </c>
      <c r="BN21" s="5" t="s">
        <v>3</v>
      </c>
      <c r="BO21" s="5" t="s">
        <v>4</v>
      </c>
      <c r="BP21" s="5" t="s">
        <v>15</v>
      </c>
      <c r="BQ21" s="5" t="s">
        <v>16</v>
      </c>
      <c r="BR21" s="5" t="s">
        <v>9</v>
      </c>
      <c r="BS21" s="5" t="s">
        <v>10</v>
      </c>
      <c r="BT21" s="5" t="s">
        <v>21</v>
      </c>
      <c r="BU21" s="8" t="s">
        <v>22</v>
      </c>
      <c r="CB21" s="11" t="s">
        <v>201</v>
      </c>
      <c r="CC21" s="11" t="s">
        <v>197</v>
      </c>
      <c r="CD21" s="11" t="s">
        <v>198</v>
      </c>
      <c r="CE21" s="11" t="s">
        <v>199</v>
      </c>
    </row>
    <row r="22" spans="1:84" ht="15" customHeight="1" x14ac:dyDescent="0.25">
      <c r="B22" s="62">
        <v>150</v>
      </c>
      <c r="C22" s="27">
        <f t="shared" si="2"/>
        <v>2361.1161116111612</v>
      </c>
      <c r="D22" s="51">
        <f t="shared" si="3"/>
        <v>203.01944209898204</v>
      </c>
      <c r="E22" s="65">
        <f t="shared" si="4"/>
        <v>0.18062712122319843</v>
      </c>
      <c r="F22" s="27">
        <f t="shared" si="5"/>
        <v>508.73087308730868</v>
      </c>
      <c r="G22" s="51">
        <f t="shared" si="0"/>
        <v>218.71490674432818</v>
      </c>
      <c r="H22" s="90">
        <f t="shared" si="6"/>
        <v>0.20963532593713374</v>
      </c>
      <c r="I22" s="27">
        <f t="shared" si="7"/>
        <v>183</v>
      </c>
      <c r="J22" s="29">
        <f t="shared" si="8"/>
        <v>22.41028567288496</v>
      </c>
      <c r="K22" s="28">
        <f t="shared" si="9"/>
        <v>11.7</v>
      </c>
      <c r="M22" s="6">
        <v>70</v>
      </c>
      <c r="N22" s="75">
        <f t="shared" ref="N22:Q24" si="10">(N$25/($M$25-30))*($M22-30)</f>
        <v>188.4</v>
      </c>
      <c r="O22" s="75">
        <f t="shared" si="10"/>
        <v>235.60000000000002</v>
      </c>
      <c r="P22" s="74">
        <f t="shared" si="10"/>
        <v>874.4</v>
      </c>
      <c r="Q22" s="74">
        <f t="shared" si="10"/>
        <v>1267.5999999999999</v>
      </c>
      <c r="R22" s="77">
        <v>71</v>
      </c>
      <c r="S22" s="77">
        <v>112</v>
      </c>
      <c r="T22" s="73">
        <v>17</v>
      </c>
      <c r="U22" s="73">
        <v>30</v>
      </c>
      <c r="V22" s="4">
        <v>5</v>
      </c>
      <c r="W22" s="9">
        <v>7</v>
      </c>
      <c r="X22" s="75">
        <f t="shared" ref="X22:AA24" si="11">(X$25/($M$25-30))*($M22-30)</f>
        <v>285.20000000000005</v>
      </c>
      <c r="Y22" s="75">
        <f t="shared" si="11"/>
        <v>348.4</v>
      </c>
      <c r="Z22" s="74">
        <f t="shared" si="11"/>
        <v>944.80000000000007</v>
      </c>
      <c r="AA22" s="74">
        <f t="shared" si="11"/>
        <v>1492.4</v>
      </c>
      <c r="AB22" s="77">
        <v>75</v>
      </c>
      <c r="AC22" s="77">
        <v>159</v>
      </c>
      <c r="AD22" s="73">
        <v>17</v>
      </c>
      <c r="AE22" s="73">
        <v>27</v>
      </c>
      <c r="AF22" s="4">
        <v>4</v>
      </c>
      <c r="AG22" s="9">
        <v>5</v>
      </c>
      <c r="AH22" s="76">
        <f t="shared" ref="AH22:AH33" si="12">N22/1.111</f>
        <v>169.57695769576958</v>
      </c>
      <c r="AI22" s="81">
        <f t="shared" ref="AI22:AI33" si="13">O22/1.111</f>
        <v>212.06120612061207</v>
      </c>
      <c r="AJ22" s="74">
        <f t="shared" ref="AJ22:AJ33" si="14">P22/1.111</f>
        <v>787.03870387038705</v>
      </c>
      <c r="AK22" s="74">
        <f t="shared" ref="AK22:AK33" si="15">Q22/1.111</f>
        <v>1140.954095409541</v>
      </c>
      <c r="AL22" s="77">
        <v>55</v>
      </c>
      <c r="AM22" s="77">
        <v>85</v>
      </c>
      <c r="AN22" s="73">
        <v>17</v>
      </c>
      <c r="AO22" s="73">
        <v>30</v>
      </c>
      <c r="AP22" s="4">
        <v>5</v>
      </c>
      <c r="AQ22" s="9">
        <v>7</v>
      </c>
      <c r="AR22" s="76">
        <f t="shared" ref="AR22:AR33" si="16">X22/1.111</f>
        <v>256.70567056705676</v>
      </c>
      <c r="AS22" s="81">
        <f t="shared" ref="AS22:AS33" si="17">Y22/1.111</f>
        <v>313.59135913591359</v>
      </c>
      <c r="AT22" s="74">
        <f t="shared" ref="AT22:AT33" si="18">Z22/1.111</f>
        <v>850.40504050405048</v>
      </c>
      <c r="AU22" s="74">
        <f t="shared" ref="AU22:AU33" si="19">AA22/1.111</f>
        <v>1343.2943294329434</v>
      </c>
      <c r="AV22" s="77">
        <v>57</v>
      </c>
      <c r="AW22" s="77">
        <v>119</v>
      </c>
      <c r="AX22" s="73">
        <v>17</v>
      </c>
      <c r="AY22" s="73">
        <v>27</v>
      </c>
      <c r="AZ22" s="4">
        <v>4</v>
      </c>
      <c r="BA22" s="9">
        <v>5</v>
      </c>
      <c r="BB22" s="75">
        <f t="shared" ref="BB22:BE24" si="20">(BB$25/($M$25-30))*($M22-30)</f>
        <v>138.80000000000001</v>
      </c>
      <c r="BC22" s="75">
        <f t="shared" si="20"/>
        <v>185.2</v>
      </c>
      <c r="BD22" s="74">
        <f t="shared" si="20"/>
        <v>595.60000000000014</v>
      </c>
      <c r="BE22" s="74">
        <f t="shared" si="20"/>
        <v>802.40000000000009</v>
      </c>
      <c r="BF22" s="77">
        <f>R22*0.8</f>
        <v>56.800000000000004</v>
      </c>
      <c r="BG22" s="77">
        <f>S22*0.8</f>
        <v>89.600000000000009</v>
      </c>
      <c r="BH22" s="73">
        <f>T22-1</f>
        <v>16</v>
      </c>
      <c r="BI22" s="73">
        <f>U22-1</f>
        <v>29</v>
      </c>
      <c r="BJ22" s="88">
        <f>V22*0.9</f>
        <v>4.5</v>
      </c>
      <c r="BK22" s="88">
        <f>W22*0.9</f>
        <v>6.3</v>
      </c>
      <c r="BL22" s="76">
        <f t="shared" ref="BL22:BL29" si="21">BB22/1.111</f>
        <v>124.93249324932495</v>
      </c>
      <c r="BM22" s="81">
        <f t="shared" ref="BM22:BM29" si="22">BC22/1.111</f>
        <v>166.6966696669667</v>
      </c>
      <c r="BN22" s="74">
        <f t="shared" ref="BN22:BO29" si="23">BD22/1.111</f>
        <v>536.09360936093617</v>
      </c>
      <c r="BO22" s="74">
        <f t="shared" si="23"/>
        <v>722.23222322232232</v>
      </c>
      <c r="BP22" s="77">
        <f>BF22/1.315789</f>
        <v>43.168015540485598</v>
      </c>
      <c r="BQ22" s="77">
        <f>BG22/1.338</f>
        <v>66.965620328849027</v>
      </c>
      <c r="BR22" s="73">
        <f>BH22</f>
        <v>16</v>
      </c>
      <c r="BS22" s="73">
        <f>BI22</f>
        <v>29</v>
      </c>
      <c r="BT22" s="4">
        <f>BJ22</f>
        <v>4.5</v>
      </c>
      <c r="BU22" s="9">
        <f>BK22</f>
        <v>6.3</v>
      </c>
      <c r="BV22" s="11" t="s">
        <v>188</v>
      </c>
      <c r="BW22" s="11" t="s">
        <v>189</v>
      </c>
      <c r="BX22" s="11" t="s">
        <v>190</v>
      </c>
      <c r="BY22" s="11" t="s">
        <v>191</v>
      </c>
      <c r="BZ22" s="11" t="s">
        <v>192</v>
      </c>
      <c r="CA22" s="11" t="s">
        <v>193</v>
      </c>
      <c r="CB22" s="11">
        <f>IF('Clima Beam'!$J$6="9,6",cal!CC22,IF('Clima Beam'!$J$6="15,3",cal!CD22,cal!CE22))</f>
        <v>4.9529000000000005</v>
      </c>
      <c r="CC22" s="1">
        <f>-0.0036*M22+2.3696</f>
        <v>2.1176000000000004</v>
      </c>
      <c r="CD22" s="11">
        <f>-0.0022*M22+5.1069</f>
        <v>4.9529000000000005</v>
      </c>
      <c r="CE22" s="11">
        <f>-0.0027*M22+4.4424</f>
        <v>4.2534000000000001</v>
      </c>
      <c r="CF22" s="1"/>
    </row>
    <row r="23" spans="1:84" ht="15" customHeight="1" x14ac:dyDescent="0.25">
      <c r="B23" s="62">
        <v>170</v>
      </c>
      <c r="C23" s="27">
        <f t="shared" si="2"/>
        <v>2754.6354635463549</v>
      </c>
      <c r="D23" s="51">
        <f t="shared" si="3"/>
        <v>236.85601578214573</v>
      </c>
      <c r="E23" s="65">
        <f t="shared" si="4"/>
        <v>0.25044604758875227</v>
      </c>
      <c r="F23" s="27">
        <f t="shared" si="5"/>
        <v>593.51935193519341</v>
      </c>
      <c r="G23" s="51">
        <f t="shared" si="0"/>
        <v>255.16739120171616</v>
      </c>
      <c r="H23" s="90">
        <f t="shared" si="6"/>
        <v>0.29066697437456551</v>
      </c>
      <c r="I23" s="27">
        <f t="shared" si="7"/>
        <v>219</v>
      </c>
      <c r="J23" s="29">
        <f t="shared" si="8"/>
        <v>23.202098133361211</v>
      </c>
      <c r="K23" s="28">
        <f t="shared" si="9"/>
        <v>13.7</v>
      </c>
      <c r="M23" s="6">
        <v>90</v>
      </c>
      <c r="N23" s="75">
        <f t="shared" si="10"/>
        <v>282.60000000000002</v>
      </c>
      <c r="O23" s="75">
        <f t="shared" si="10"/>
        <v>353.40000000000003</v>
      </c>
      <c r="P23" s="74">
        <f t="shared" si="10"/>
        <v>1311.6</v>
      </c>
      <c r="Q23" s="74">
        <f t="shared" si="10"/>
        <v>1901.3999999999999</v>
      </c>
      <c r="R23" s="77">
        <v>118</v>
      </c>
      <c r="S23" s="77">
        <v>197</v>
      </c>
      <c r="T23" s="73">
        <v>19</v>
      </c>
      <c r="U23" s="73">
        <v>32</v>
      </c>
      <c r="V23" s="4">
        <v>7</v>
      </c>
      <c r="W23" s="9">
        <v>10</v>
      </c>
      <c r="X23" s="75">
        <f t="shared" si="11"/>
        <v>427.80000000000007</v>
      </c>
      <c r="Y23" s="75">
        <f t="shared" si="11"/>
        <v>522.59999999999991</v>
      </c>
      <c r="Z23" s="74">
        <f t="shared" si="11"/>
        <v>1417.2</v>
      </c>
      <c r="AA23" s="74">
        <f t="shared" si="11"/>
        <v>2238.6000000000004</v>
      </c>
      <c r="AB23" s="77">
        <v>100</v>
      </c>
      <c r="AC23" s="77">
        <v>212</v>
      </c>
      <c r="AD23" s="73">
        <v>18</v>
      </c>
      <c r="AE23" s="73">
        <v>29</v>
      </c>
      <c r="AF23" s="4">
        <v>5</v>
      </c>
      <c r="AG23" s="9">
        <v>6.5</v>
      </c>
      <c r="AH23" s="75">
        <f t="shared" si="12"/>
        <v>254.3654365436544</v>
      </c>
      <c r="AI23" s="75">
        <f t="shared" si="13"/>
        <v>318.09180918091812</v>
      </c>
      <c r="AJ23" s="74">
        <f t="shared" si="14"/>
        <v>1180.5580558055806</v>
      </c>
      <c r="AK23" s="74">
        <f t="shared" si="15"/>
        <v>1711.4311431143112</v>
      </c>
      <c r="AL23" s="77">
        <v>92</v>
      </c>
      <c r="AM23" s="77">
        <v>142</v>
      </c>
      <c r="AN23" s="73">
        <v>19</v>
      </c>
      <c r="AO23" s="73">
        <v>32</v>
      </c>
      <c r="AP23" s="4">
        <f>(0.0805*$M23)-0.2343</f>
        <v>7.0106999999999999</v>
      </c>
      <c r="AQ23" s="9">
        <v>10</v>
      </c>
      <c r="AR23" s="75">
        <f t="shared" si="16"/>
        <v>385.05850585058511</v>
      </c>
      <c r="AS23" s="75">
        <f t="shared" si="17"/>
        <v>470.3870387038703</v>
      </c>
      <c r="AT23" s="74">
        <f t="shared" si="18"/>
        <v>1275.6075607560756</v>
      </c>
      <c r="AU23" s="74">
        <f t="shared" si="19"/>
        <v>2014.9414941494153</v>
      </c>
      <c r="AV23" s="77">
        <v>76</v>
      </c>
      <c r="AW23" s="77">
        <v>158</v>
      </c>
      <c r="AX23" s="73">
        <v>18</v>
      </c>
      <c r="AY23" s="73">
        <v>29</v>
      </c>
      <c r="AZ23" s="4">
        <v>5</v>
      </c>
      <c r="BA23" s="9">
        <v>6.5</v>
      </c>
      <c r="BB23" s="75">
        <f t="shared" si="20"/>
        <v>208.20000000000002</v>
      </c>
      <c r="BC23" s="75">
        <f t="shared" si="20"/>
        <v>277.8</v>
      </c>
      <c r="BD23" s="74">
        <f t="shared" si="20"/>
        <v>893.40000000000009</v>
      </c>
      <c r="BE23" s="74">
        <f t="shared" si="20"/>
        <v>1203.6000000000001</v>
      </c>
      <c r="BF23" s="77">
        <f t="shared" ref="BF23:BF33" si="24">R23*0.8</f>
        <v>94.4</v>
      </c>
      <c r="BG23" s="77">
        <f t="shared" ref="BG23:BG33" si="25">S23*0.8</f>
        <v>157.60000000000002</v>
      </c>
      <c r="BH23" s="73">
        <f t="shared" ref="BH23:BI33" si="26">T23-1</f>
        <v>18</v>
      </c>
      <c r="BI23" s="73">
        <f t="shared" si="26"/>
        <v>31</v>
      </c>
      <c r="BJ23" s="88">
        <f t="shared" ref="BJ23:BK33" si="27">V23*0.9</f>
        <v>6.3</v>
      </c>
      <c r="BK23" s="88">
        <f t="shared" si="27"/>
        <v>9</v>
      </c>
      <c r="BL23" s="75">
        <f t="shared" si="21"/>
        <v>187.39873987398741</v>
      </c>
      <c r="BM23" s="75">
        <f t="shared" si="22"/>
        <v>250.04500450045006</v>
      </c>
      <c r="BN23" s="74">
        <f t="shared" si="23"/>
        <v>804.14041404140426</v>
      </c>
      <c r="BO23" s="74">
        <f t="shared" si="23"/>
        <v>1083.3483348334835</v>
      </c>
      <c r="BP23" s="77">
        <f t="shared" ref="BP23:BP33" si="28">BF23/1.315789</f>
        <v>71.744025827849299</v>
      </c>
      <c r="BQ23" s="77">
        <f t="shared" ref="BQ23:BQ33" si="29">BG23/1.338</f>
        <v>117.78774289985053</v>
      </c>
      <c r="BR23" s="73">
        <f t="shared" ref="BR23:BS33" si="30">BH23</f>
        <v>18</v>
      </c>
      <c r="BS23" s="73">
        <f t="shared" si="30"/>
        <v>31</v>
      </c>
      <c r="BT23" s="4">
        <f>BJ23</f>
        <v>6.3</v>
      </c>
      <c r="BU23" s="9">
        <f>BK23</f>
        <v>9</v>
      </c>
      <c r="BV23" s="82">
        <f t="shared" ref="BV23:BV33" si="31">R23/R$22</f>
        <v>1.6619718309859155</v>
      </c>
      <c r="BW23" s="82">
        <f t="shared" ref="BW23:BW33" si="32">S23/S$22</f>
        <v>1.7589285714285714</v>
      </c>
      <c r="BX23" s="82">
        <f>AB23/AB$22</f>
        <v>1.3333333333333333</v>
      </c>
      <c r="BY23" s="82">
        <f>AC23/AC$22</f>
        <v>1.3333333333333333</v>
      </c>
      <c r="BZ23" s="82">
        <f>BV23+((BV23-BX23)*0.85)</f>
        <v>1.9413145539906105</v>
      </c>
      <c r="CA23" s="82">
        <f>BW23+((BW23-BY23)*0.85)</f>
        <v>2.120684523809524</v>
      </c>
      <c r="CB23" s="11">
        <f>IF('Clima Beam'!$J$6="9,6",cal!CC23,IF('Clima Beam'!$J$6="15,3",cal!CD23,cal!CE23))</f>
        <v>4.9089</v>
      </c>
      <c r="CC23" s="1">
        <f t="shared" ref="CC23:CC33" si="33">-0.0036*M23+2.3696</f>
        <v>2.0456000000000003</v>
      </c>
      <c r="CD23" s="11">
        <f t="shared" ref="CD23:CD33" si="34">-0.0022*M23+5.1069</f>
        <v>4.9089</v>
      </c>
      <c r="CE23" s="11">
        <f t="shared" ref="CE23:CE33" si="35">-0.0027*M23+4.4424</f>
        <v>4.1993999999999998</v>
      </c>
      <c r="CF23" s="1"/>
    </row>
    <row r="24" spans="1:84" ht="15" customHeight="1" x14ac:dyDescent="0.25">
      <c r="B24" s="62">
        <v>190</v>
      </c>
      <c r="C24" s="27">
        <f t="shared" si="2"/>
        <v>3148.1548154815482</v>
      </c>
      <c r="D24" s="51">
        <f t="shared" si="3"/>
        <v>270.69258946530937</v>
      </c>
      <c r="E24" s="65">
        <f t="shared" si="4"/>
        <v>0.33328118125947132</v>
      </c>
      <c r="F24" s="27">
        <f t="shared" si="5"/>
        <v>678.3078307830782</v>
      </c>
      <c r="G24" s="51">
        <f t="shared" si="0"/>
        <v>291.6198756591042</v>
      </c>
      <c r="H24" s="90">
        <f t="shared" si="6"/>
        <v>0.38680519619037657</v>
      </c>
      <c r="I24" s="27">
        <f t="shared" si="7"/>
        <v>256</v>
      </c>
      <c r="J24" s="29">
        <f t="shared" si="8"/>
        <v>23.871566029667342</v>
      </c>
      <c r="K24" s="28">
        <f t="shared" si="9"/>
        <v>15.7</v>
      </c>
      <c r="M24" s="6">
        <v>100</v>
      </c>
      <c r="N24" s="75">
        <f t="shared" si="10"/>
        <v>329.7</v>
      </c>
      <c r="O24" s="75">
        <f t="shared" si="10"/>
        <v>412.30000000000007</v>
      </c>
      <c r="P24" s="74">
        <f t="shared" si="10"/>
        <v>1530.2</v>
      </c>
      <c r="Q24" s="74">
        <f t="shared" si="10"/>
        <v>2218.2999999999997</v>
      </c>
      <c r="R24" s="77">
        <v>142</v>
      </c>
      <c r="S24" s="77">
        <v>224</v>
      </c>
      <c r="T24" s="73">
        <v>20</v>
      </c>
      <c r="U24" s="73">
        <v>33</v>
      </c>
      <c r="V24" s="4">
        <v>8</v>
      </c>
      <c r="W24" s="9">
        <v>12</v>
      </c>
      <c r="X24" s="75">
        <f t="shared" si="11"/>
        <v>499.10000000000008</v>
      </c>
      <c r="Y24" s="75">
        <f t="shared" si="11"/>
        <v>609.69999999999993</v>
      </c>
      <c r="Z24" s="74">
        <f t="shared" si="11"/>
        <v>1653.4</v>
      </c>
      <c r="AA24" s="74">
        <f t="shared" si="11"/>
        <v>2611.7000000000003</v>
      </c>
      <c r="AB24" s="77">
        <v>100</v>
      </c>
      <c r="AC24" s="77">
        <v>212</v>
      </c>
      <c r="AD24" s="73">
        <v>18</v>
      </c>
      <c r="AE24" s="73">
        <v>29</v>
      </c>
      <c r="AF24" s="4">
        <v>5</v>
      </c>
      <c r="AG24" s="9">
        <v>6.5</v>
      </c>
      <c r="AH24" s="75">
        <f t="shared" si="12"/>
        <v>296.75967596759676</v>
      </c>
      <c r="AI24" s="75">
        <f t="shared" si="13"/>
        <v>371.10711071107119</v>
      </c>
      <c r="AJ24" s="74">
        <f t="shared" si="14"/>
        <v>1377.3177317731775</v>
      </c>
      <c r="AK24" s="74">
        <f t="shared" si="15"/>
        <v>1996.6696669666965</v>
      </c>
      <c r="AL24" s="77">
        <v>110</v>
      </c>
      <c r="AM24" s="77">
        <v>170</v>
      </c>
      <c r="AN24" s="73">
        <v>20</v>
      </c>
      <c r="AO24" s="73">
        <v>33</v>
      </c>
      <c r="AP24" s="4">
        <v>8</v>
      </c>
      <c r="AQ24" s="9">
        <v>12</v>
      </c>
      <c r="AR24" s="75">
        <f t="shared" si="16"/>
        <v>449.23492349234931</v>
      </c>
      <c r="AS24" s="75">
        <f t="shared" si="17"/>
        <v>548.78487848784869</v>
      </c>
      <c r="AT24" s="74">
        <f t="shared" si="18"/>
        <v>1488.2088208820883</v>
      </c>
      <c r="AU24" s="74">
        <f t="shared" si="19"/>
        <v>2350.765076507651</v>
      </c>
      <c r="AV24" s="77">
        <v>76</v>
      </c>
      <c r="AW24" s="77">
        <v>158</v>
      </c>
      <c r="AX24" s="73">
        <v>18</v>
      </c>
      <c r="AY24" s="73">
        <v>29</v>
      </c>
      <c r="AZ24" s="4">
        <v>5</v>
      </c>
      <c r="BA24" s="9">
        <v>6.5</v>
      </c>
      <c r="BB24" s="75">
        <f t="shared" si="20"/>
        <v>242.9</v>
      </c>
      <c r="BC24" s="75">
        <f t="shared" si="20"/>
        <v>324.09999999999997</v>
      </c>
      <c r="BD24" s="74">
        <f t="shared" si="20"/>
        <v>1042.3000000000002</v>
      </c>
      <c r="BE24" s="74">
        <f t="shared" si="20"/>
        <v>1404.2000000000003</v>
      </c>
      <c r="BF24" s="77">
        <f t="shared" si="24"/>
        <v>113.60000000000001</v>
      </c>
      <c r="BG24" s="77">
        <f t="shared" si="25"/>
        <v>179.20000000000002</v>
      </c>
      <c r="BH24" s="73">
        <f t="shared" si="26"/>
        <v>19</v>
      </c>
      <c r="BI24" s="73">
        <f t="shared" si="26"/>
        <v>32</v>
      </c>
      <c r="BJ24" s="88">
        <f t="shared" si="27"/>
        <v>7.2</v>
      </c>
      <c r="BK24" s="88">
        <f t="shared" si="27"/>
        <v>10.8</v>
      </c>
      <c r="BL24" s="75">
        <f t="shared" si="21"/>
        <v>218.63186318631864</v>
      </c>
      <c r="BM24" s="75">
        <f t="shared" si="22"/>
        <v>291.71917191719172</v>
      </c>
      <c r="BN24" s="74">
        <f t="shared" si="23"/>
        <v>938.1638163816383</v>
      </c>
      <c r="BO24" s="74">
        <f t="shared" si="23"/>
        <v>1263.9063906390641</v>
      </c>
      <c r="BP24" s="77">
        <f t="shared" si="28"/>
        <v>86.336031080971196</v>
      </c>
      <c r="BQ24" s="77">
        <f t="shared" si="29"/>
        <v>133.93124065769805</v>
      </c>
      <c r="BR24" s="73">
        <f t="shared" si="30"/>
        <v>19</v>
      </c>
      <c r="BS24" s="73">
        <f t="shared" si="30"/>
        <v>32</v>
      </c>
      <c r="BT24" s="4">
        <f t="shared" ref="BT24:BT33" si="36">BJ24</f>
        <v>7.2</v>
      </c>
      <c r="BU24" s="9">
        <f t="shared" ref="BU24:BU33" si="37">BK24</f>
        <v>10.8</v>
      </c>
      <c r="BV24" s="82">
        <f t="shared" si="31"/>
        <v>2</v>
      </c>
      <c r="BW24" s="82">
        <f t="shared" si="32"/>
        <v>2</v>
      </c>
      <c r="BX24" s="82">
        <f t="shared" ref="BX24:BX33" si="38">AB24/AB$22</f>
        <v>1.3333333333333333</v>
      </c>
      <c r="BY24" s="82">
        <f t="shared" ref="BY24:BY33" si="39">AC24/AC$22</f>
        <v>1.3333333333333333</v>
      </c>
      <c r="BZ24" s="82">
        <f t="shared" ref="BZ24:CA33" si="40">BV24+((BV24-BX24)*0.85)</f>
        <v>2.5666666666666669</v>
      </c>
      <c r="CA24" s="82">
        <f t="shared" si="40"/>
        <v>2.5666666666666669</v>
      </c>
      <c r="CB24" s="11">
        <f>IF('Clima Beam'!$J$6="9,6",cal!CC24,IF('Clima Beam'!$J$6="15,3",cal!CD24,cal!CE24))</f>
        <v>4.8869000000000007</v>
      </c>
      <c r="CC24" s="1">
        <f t="shared" si="33"/>
        <v>2.0096000000000003</v>
      </c>
      <c r="CD24" s="11">
        <f t="shared" si="34"/>
        <v>4.8869000000000007</v>
      </c>
      <c r="CE24" s="11">
        <f t="shared" si="35"/>
        <v>4.1723999999999997</v>
      </c>
      <c r="CF24" s="1"/>
    </row>
    <row r="25" spans="1:84" ht="15" customHeight="1" x14ac:dyDescent="0.25">
      <c r="B25" s="62">
        <v>210</v>
      </c>
      <c r="C25" s="27">
        <f t="shared" si="2"/>
        <v>3541.6741674167415</v>
      </c>
      <c r="D25" s="51">
        <f t="shared" si="3"/>
        <v>304.529163148473</v>
      </c>
      <c r="E25" s="65">
        <f t="shared" si="4"/>
        <v>0.42983823184344316</v>
      </c>
      <c r="F25" s="27">
        <f t="shared" si="5"/>
        <v>763.09630963096299</v>
      </c>
      <c r="G25" s="51">
        <f t="shared" si="0"/>
        <v>328.07236011649223</v>
      </c>
      <c r="H25" s="90">
        <f t="shared" si="6"/>
        <v>0.49886903595941545</v>
      </c>
      <c r="I25" s="27">
        <f t="shared" si="7"/>
        <v>293</v>
      </c>
      <c r="J25" s="29">
        <f t="shared" si="8"/>
        <v>23.871566029667342</v>
      </c>
      <c r="K25" s="28">
        <f t="shared" si="9"/>
        <v>18</v>
      </c>
      <c r="M25" s="6">
        <v>120</v>
      </c>
      <c r="N25" s="75">
        <f>471*0.9</f>
        <v>423.90000000000003</v>
      </c>
      <c r="O25" s="87">
        <f>0.9*589</f>
        <v>530.1</v>
      </c>
      <c r="P25" s="74">
        <f>0.9*2186</f>
        <v>1967.4</v>
      </c>
      <c r="Q25" s="74">
        <f>0.9*3169</f>
        <v>2852.1</v>
      </c>
      <c r="R25" s="78">
        <v>188</v>
      </c>
      <c r="S25" s="78">
        <v>298</v>
      </c>
      <c r="T25" s="73">
        <v>21</v>
      </c>
      <c r="U25" s="73">
        <v>34</v>
      </c>
      <c r="V25" s="4">
        <v>9.6999999999999993</v>
      </c>
      <c r="W25" s="10">
        <v>15.3</v>
      </c>
      <c r="X25" s="75">
        <f>0.9*713</f>
        <v>641.70000000000005</v>
      </c>
      <c r="Y25" s="87">
        <f>0.9*871</f>
        <v>783.9</v>
      </c>
      <c r="Z25" s="74">
        <f>0.9*2362</f>
        <v>2125.8000000000002</v>
      </c>
      <c r="AA25" s="74">
        <f>0.9*3731</f>
        <v>3357.9</v>
      </c>
      <c r="AB25" s="78">
        <v>150</v>
      </c>
      <c r="AC25" s="78">
        <f>AC22*2</f>
        <v>318</v>
      </c>
      <c r="AD25" s="73">
        <v>20</v>
      </c>
      <c r="AE25" s="73">
        <v>32</v>
      </c>
      <c r="AF25" s="4">
        <v>6.5</v>
      </c>
      <c r="AG25" s="10">
        <v>9</v>
      </c>
      <c r="AH25" s="75">
        <f t="shared" si="12"/>
        <v>381.54815481548161</v>
      </c>
      <c r="AI25" s="75">
        <f t="shared" si="13"/>
        <v>477.13771377137715</v>
      </c>
      <c r="AJ25" s="74">
        <f t="shared" si="14"/>
        <v>1770.837083708371</v>
      </c>
      <c r="AK25" s="74">
        <f t="shared" si="15"/>
        <v>2567.1467146714672</v>
      </c>
      <c r="AL25" s="78">
        <v>146</v>
      </c>
      <c r="AM25" s="78">
        <v>226</v>
      </c>
      <c r="AN25" s="73">
        <v>21</v>
      </c>
      <c r="AO25" s="73">
        <v>34</v>
      </c>
      <c r="AP25" s="4">
        <v>9.6999999999999993</v>
      </c>
      <c r="AQ25" s="10">
        <v>15.3</v>
      </c>
      <c r="AR25" s="75">
        <f t="shared" si="16"/>
        <v>577.58775877587766</v>
      </c>
      <c r="AS25" s="75">
        <f t="shared" si="17"/>
        <v>705.58055805580557</v>
      </c>
      <c r="AT25" s="74">
        <f t="shared" si="18"/>
        <v>1913.4113411341136</v>
      </c>
      <c r="AU25" s="74">
        <f t="shared" si="19"/>
        <v>3022.4122412241227</v>
      </c>
      <c r="AV25" s="78">
        <v>114</v>
      </c>
      <c r="AW25" s="78">
        <v>238</v>
      </c>
      <c r="AX25" s="73">
        <v>20</v>
      </c>
      <c r="AY25" s="73">
        <v>32</v>
      </c>
      <c r="AZ25" s="4">
        <v>6.5</v>
      </c>
      <c r="BA25" s="10">
        <v>9</v>
      </c>
      <c r="BB25" s="75">
        <f>0.9*347</f>
        <v>312.3</v>
      </c>
      <c r="BC25" s="87">
        <f>0.9*463</f>
        <v>416.7</v>
      </c>
      <c r="BD25" s="74">
        <f>0.9*1489</f>
        <v>1340.1000000000001</v>
      </c>
      <c r="BE25" s="74">
        <f>0.9*2006</f>
        <v>1805.4</v>
      </c>
      <c r="BF25" s="77">
        <f t="shared" si="24"/>
        <v>150.4</v>
      </c>
      <c r="BG25" s="77">
        <f t="shared" si="25"/>
        <v>238.4</v>
      </c>
      <c r="BH25" s="73">
        <f t="shared" si="26"/>
        <v>20</v>
      </c>
      <c r="BI25" s="73">
        <f t="shared" si="26"/>
        <v>33</v>
      </c>
      <c r="BJ25" s="88">
        <f t="shared" si="27"/>
        <v>8.73</v>
      </c>
      <c r="BK25" s="88">
        <f t="shared" si="27"/>
        <v>13.770000000000001</v>
      </c>
      <c r="BL25" s="75">
        <f t="shared" si="21"/>
        <v>281.0981098109811</v>
      </c>
      <c r="BM25" s="75">
        <f t="shared" si="22"/>
        <v>375.06750675067508</v>
      </c>
      <c r="BN25" s="74">
        <f t="shared" si="23"/>
        <v>1206.2106210621064</v>
      </c>
      <c r="BO25" s="74">
        <f t="shared" si="23"/>
        <v>1625.0225022502252</v>
      </c>
      <c r="BP25" s="77">
        <f t="shared" si="28"/>
        <v>114.3040411494548</v>
      </c>
      <c r="BQ25" s="77">
        <f t="shared" si="29"/>
        <v>178.17638266068758</v>
      </c>
      <c r="BR25" s="73">
        <f t="shared" si="30"/>
        <v>20</v>
      </c>
      <c r="BS25" s="73">
        <f t="shared" si="30"/>
        <v>33</v>
      </c>
      <c r="BT25" s="4">
        <f t="shared" si="36"/>
        <v>8.73</v>
      </c>
      <c r="BU25" s="9">
        <f t="shared" si="37"/>
        <v>13.770000000000001</v>
      </c>
      <c r="BV25" s="82">
        <f t="shared" si="31"/>
        <v>2.647887323943662</v>
      </c>
      <c r="BW25" s="82">
        <f t="shared" si="32"/>
        <v>2.6607142857142856</v>
      </c>
      <c r="BX25" s="82">
        <f t="shared" si="38"/>
        <v>2</v>
      </c>
      <c r="BY25" s="82">
        <f t="shared" si="39"/>
        <v>2</v>
      </c>
      <c r="BZ25" s="82">
        <f t="shared" si="40"/>
        <v>3.1985915492957746</v>
      </c>
      <c r="CA25" s="82">
        <f t="shared" si="40"/>
        <v>3.2223214285714281</v>
      </c>
      <c r="CB25" s="11">
        <f>IF('Clima Beam'!$J$6="9,6",cal!CC25,IF('Clima Beam'!$J$6="15,3",cal!CD25,cal!CE25))</f>
        <v>4.8429000000000002</v>
      </c>
      <c r="CC25" s="1">
        <f t="shared" si="33"/>
        <v>1.9376000000000002</v>
      </c>
      <c r="CD25" s="11">
        <f t="shared" si="34"/>
        <v>4.8429000000000002</v>
      </c>
      <c r="CE25" s="11">
        <f t="shared" si="35"/>
        <v>4.1184000000000003</v>
      </c>
      <c r="CF25" s="1"/>
    </row>
    <row r="26" spans="1:84" ht="15" customHeight="1" x14ac:dyDescent="0.25">
      <c r="B26" s="62">
        <v>230</v>
      </c>
      <c r="C26" s="27">
        <f t="shared" si="2"/>
        <v>3935.1935193519353</v>
      </c>
      <c r="D26" s="51">
        <f t="shared" si="3"/>
        <v>338.3657368316367</v>
      </c>
      <c r="E26" s="65">
        <f t="shared" si="4"/>
        <v>0.54086287350992679</v>
      </c>
      <c r="F26" s="27">
        <f t="shared" si="5"/>
        <v>847.88478847884767</v>
      </c>
      <c r="G26" s="51">
        <f t="shared" si="0"/>
        <v>364.52484457388022</v>
      </c>
      <c r="H26" s="90">
        <f t="shared" si="6"/>
        <v>0.6277239210131752</v>
      </c>
      <c r="I26" s="27">
        <f t="shared" si="7"/>
        <v>293</v>
      </c>
      <c r="J26" s="29">
        <f t="shared" si="8"/>
        <v>24.45148549944421</v>
      </c>
      <c r="K26" s="28">
        <f t="shared" si="9"/>
        <v>17.7</v>
      </c>
      <c r="M26" s="6">
        <v>150</v>
      </c>
      <c r="N26" s="75">
        <f t="shared" ref="N26:Q33" si="41">(N$25/($M$25-30))*($M26-30)</f>
        <v>565.20000000000005</v>
      </c>
      <c r="O26" s="75">
        <f t="shared" si="41"/>
        <v>706.80000000000007</v>
      </c>
      <c r="P26" s="74">
        <f t="shared" si="41"/>
        <v>2623.2</v>
      </c>
      <c r="Q26" s="74">
        <f t="shared" si="41"/>
        <v>3802.7999999999997</v>
      </c>
      <c r="R26" s="78">
        <v>236</v>
      </c>
      <c r="S26" s="78">
        <v>373</v>
      </c>
      <c r="T26" s="73">
        <v>22.41028567288496</v>
      </c>
      <c r="U26" s="73">
        <v>34.860497282454268</v>
      </c>
      <c r="V26" s="4">
        <v>11.7</v>
      </c>
      <c r="W26" s="10">
        <v>18.7</v>
      </c>
      <c r="X26" s="75">
        <f t="shared" ref="X26:AA33" si="42">(X$25/($M$25-30))*($M26-30)</f>
        <v>855.60000000000014</v>
      </c>
      <c r="Y26" s="75">
        <f t="shared" si="42"/>
        <v>1045.1999999999998</v>
      </c>
      <c r="Z26" s="74">
        <f t="shared" si="42"/>
        <v>2834.4</v>
      </c>
      <c r="AA26" s="74">
        <f t="shared" si="42"/>
        <v>4477.2000000000007</v>
      </c>
      <c r="AB26" s="78">
        <v>175</v>
      </c>
      <c r="AC26" s="78">
        <v>371</v>
      </c>
      <c r="AD26" s="73">
        <v>20.6</v>
      </c>
      <c r="AE26" s="73">
        <v>32.6</v>
      </c>
      <c r="AF26" s="4">
        <v>7.3</v>
      </c>
      <c r="AG26" s="10">
        <v>10.1</v>
      </c>
      <c r="AH26" s="75">
        <f t="shared" si="12"/>
        <v>508.73087308730879</v>
      </c>
      <c r="AI26" s="75">
        <f t="shared" si="13"/>
        <v>636.18361836183624</v>
      </c>
      <c r="AJ26" s="74">
        <f t="shared" si="14"/>
        <v>2361.1161116111612</v>
      </c>
      <c r="AK26" s="74">
        <f t="shared" si="15"/>
        <v>3422.8622862286225</v>
      </c>
      <c r="AL26" s="78">
        <v>183</v>
      </c>
      <c r="AM26" s="78">
        <v>283</v>
      </c>
      <c r="AN26" s="73">
        <v>22.41028567288496</v>
      </c>
      <c r="AO26" s="73">
        <v>34.860497282454268</v>
      </c>
      <c r="AP26" s="4">
        <v>11.7</v>
      </c>
      <c r="AQ26" s="10">
        <v>18.7</v>
      </c>
      <c r="AR26" s="75">
        <f t="shared" si="16"/>
        <v>770.11701170117021</v>
      </c>
      <c r="AS26" s="75">
        <f t="shared" si="17"/>
        <v>940.77407740774061</v>
      </c>
      <c r="AT26" s="74">
        <f t="shared" si="18"/>
        <v>2551.2151215121512</v>
      </c>
      <c r="AU26" s="74">
        <f t="shared" si="19"/>
        <v>4029.8829882988307</v>
      </c>
      <c r="AV26" s="78">
        <v>133</v>
      </c>
      <c r="AW26" s="78">
        <v>277</v>
      </c>
      <c r="AX26" s="73">
        <v>20.6</v>
      </c>
      <c r="AY26" s="73">
        <v>32.6</v>
      </c>
      <c r="AZ26" s="4">
        <v>7.3</v>
      </c>
      <c r="BA26" s="10">
        <v>10.1</v>
      </c>
      <c r="BB26" s="75">
        <f t="shared" ref="BB26:BE33" si="43">(BB$25/($M$25-30))*($M26-30)</f>
        <v>416.40000000000003</v>
      </c>
      <c r="BC26" s="75">
        <f t="shared" si="43"/>
        <v>555.6</v>
      </c>
      <c r="BD26" s="74">
        <f t="shared" si="43"/>
        <v>1786.8000000000002</v>
      </c>
      <c r="BE26" s="74">
        <f t="shared" si="43"/>
        <v>2407.2000000000003</v>
      </c>
      <c r="BF26" s="77">
        <f t="shared" si="24"/>
        <v>188.8</v>
      </c>
      <c r="BG26" s="77">
        <f t="shared" si="25"/>
        <v>298.40000000000003</v>
      </c>
      <c r="BH26" s="73">
        <f t="shared" si="26"/>
        <v>21.41028567288496</v>
      </c>
      <c r="BI26" s="73">
        <f t="shared" si="26"/>
        <v>33.860497282454268</v>
      </c>
      <c r="BJ26" s="88">
        <f t="shared" si="27"/>
        <v>10.53</v>
      </c>
      <c r="BK26" s="88">
        <f t="shared" si="27"/>
        <v>16.829999999999998</v>
      </c>
      <c r="BL26" s="75">
        <f t="shared" si="21"/>
        <v>374.79747974797482</v>
      </c>
      <c r="BM26" s="75">
        <f t="shared" si="22"/>
        <v>500.09000900090012</v>
      </c>
      <c r="BN26" s="74">
        <f t="shared" si="23"/>
        <v>1608.2808280828085</v>
      </c>
      <c r="BO26" s="74">
        <f t="shared" si="23"/>
        <v>2166.696669666967</v>
      </c>
      <c r="BP26" s="77">
        <f t="shared" si="28"/>
        <v>143.4880516556986</v>
      </c>
      <c r="BQ26" s="77">
        <f t="shared" si="29"/>
        <v>223.01943198804187</v>
      </c>
      <c r="BR26" s="73">
        <f t="shared" si="30"/>
        <v>21.41028567288496</v>
      </c>
      <c r="BS26" s="73">
        <f t="shared" si="30"/>
        <v>33.860497282454268</v>
      </c>
      <c r="BT26" s="4">
        <f t="shared" si="36"/>
        <v>10.53</v>
      </c>
      <c r="BU26" s="9">
        <f t="shared" si="37"/>
        <v>16.829999999999998</v>
      </c>
      <c r="BV26" s="82">
        <f t="shared" si="31"/>
        <v>3.323943661971831</v>
      </c>
      <c r="BW26" s="82">
        <f t="shared" si="32"/>
        <v>3.3303571428571428</v>
      </c>
      <c r="BX26" s="82">
        <f t="shared" si="38"/>
        <v>2.3333333333333335</v>
      </c>
      <c r="BY26" s="82">
        <f t="shared" si="39"/>
        <v>2.3333333333333335</v>
      </c>
      <c r="BZ26" s="82">
        <f t="shared" si="40"/>
        <v>4.1659624413145542</v>
      </c>
      <c r="CA26" s="82">
        <f t="shared" si="40"/>
        <v>4.1778273809523805</v>
      </c>
      <c r="CB26" s="11">
        <f>IF('Clima Beam'!$J$6="9,6",cal!CC26,IF('Clima Beam'!$J$6="15,3",cal!CD26,cal!CE26))</f>
        <v>4.7769000000000004</v>
      </c>
      <c r="CC26" s="1">
        <f t="shared" si="33"/>
        <v>1.8296000000000001</v>
      </c>
      <c r="CD26" s="11">
        <f t="shared" si="34"/>
        <v>4.7769000000000004</v>
      </c>
      <c r="CE26" s="11">
        <f t="shared" si="35"/>
        <v>4.0373999999999999</v>
      </c>
      <c r="CF26" s="1"/>
    </row>
    <row r="27" spans="1:84" ht="15" customHeight="1" x14ac:dyDescent="0.25">
      <c r="B27" s="62">
        <v>250</v>
      </c>
      <c r="C27" s="27">
        <f t="shared" si="2"/>
        <v>4328.712871287129</v>
      </c>
      <c r="D27" s="51">
        <f t="shared" si="3"/>
        <v>372.20231051480039</v>
      </c>
      <c r="E27" s="65">
        <f t="shared" si="4"/>
        <v>0.66714330657374699</v>
      </c>
      <c r="F27" s="27">
        <f t="shared" si="5"/>
        <v>932.67326732673246</v>
      </c>
      <c r="G27" s="51">
        <f t="shared" si="0"/>
        <v>400.97732903126825</v>
      </c>
      <c r="H27" s="90">
        <f t="shared" si="6"/>
        <v>0.77428463440739559</v>
      </c>
      <c r="I27" s="27">
        <f t="shared" si="7"/>
        <v>348</v>
      </c>
      <c r="J27" s="29">
        <f t="shared" si="8"/>
        <v>24.963010723918025</v>
      </c>
      <c r="K27" s="28">
        <f t="shared" si="9"/>
        <v>21</v>
      </c>
      <c r="M27" s="6">
        <v>170</v>
      </c>
      <c r="N27" s="75">
        <f t="shared" si="41"/>
        <v>659.4</v>
      </c>
      <c r="O27" s="75">
        <f t="shared" si="41"/>
        <v>824.60000000000014</v>
      </c>
      <c r="P27" s="74">
        <f t="shared" si="41"/>
        <v>3060.4</v>
      </c>
      <c r="Q27" s="74">
        <f t="shared" si="41"/>
        <v>4436.5999999999995</v>
      </c>
      <c r="R27" s="78">
        <v>283</v>
      </c>
      <c r="S27" s="78">
        <v>448</v>
      </c>
      <c r="T27" s="73">
        <v>23.202098133361211</v>
      </c>
      <c r="U27" s="73">
        <v>35.65230974293052</v>
      </c>
      <c r="V27" s="4">
        <v>13.7</v>
      </c>
      <c r="W27" s="10">
        <v>22.1</v>
      </c>
      <c r="X27" s="75">
        <f t="shared" si="42"/>
        <v>998.20000000000016</v>
      </c>
      <c r="Y27" s="75">
        <f t="shared" si="42"/>
        <v>1219.3999999999999</v>
      </c>
      <c r="Z27" s="74">
        <f t="shared" si="42"/>
        <v>3306.8</v>
      </c>
      <c r="AA27" s="74">
        <f t="shared" si="42"/>
        <v>5223.4000000000005</v>
      </c>
      <c r="AB27" s="78">
        <v>225</v>
      </c>
      <c r="AC27" s="78">
        <v>477</v>
      </c>
      <c r="AD27" s="73">
        <v>21.6</v>
      </c>
      <c r="AE27" s="73">
        <v>33.700000000000003</v>
      </c>
      <c r="AF27" s="4">
        <v>8.9</v>
      </c>
      <c r="AG27" s="10">
        <v>12.5</v>
      </c>
      <c r="AH27" s="75">
        <f t="shared" si="12"/>
        <v>593.51935193519353</v>
      </c>
      <c r="AI27" s="75">
        <f t="shared" si="13"/>
        <v>742.21422142214237</v>
      </c>
      <c r="AJ27" s="74">
        <f t="shared" si="14"/>
        <v>2754.6354635463549</v>
      </c>
      <c r="AK27" s="74">
        <f t="shared" si="15"/>
        <v>3993.3393339333929</v>
      </c>
      <c r="AL27" s="78">
        <v>219</v>
      </c>
      <c r="AM27" s="78">
        <v>340</v>
      </c>
      <c r="AN27" s="73">
        <v>23.202098133361211</v>
      </c>
      <c r="AO27" s="73">
        <v>35.65230974293052</v>
      </c>
      <c r="AP27" s="4">
        <v>13.7</v>
      </c>
      <c r="AQ27" s="10">
        <v>22.1</v>
      </c>
      <c r="AR27" s="75">
        <f t="shared" si="16"/>
        <v>898.46984698469862</v>
      </c>
      <c r="AS27" s="75">
        <f t="shared" si="17"/>
        <v>1097.5697569756974</v>
      </c>
      <c r="AT27" s="74">
        <f t="shared" si="18"/>
        <v>2976.4176417641766</v>
      </c>
      <c r="AU27" s="74">
        <f t="shared" si="19"/>
        <v>4701.5301530153019</v>
      </c>
      <c r="AV27" s="78">
        <v>171</v>
      </c>
      <c r="AW27" s="78">
        <v>356</v>
      </c>
      <c r="AX27" s="73">
        <v>21.6</v>
      </c>
      <c r="AY27" s="73">
        <v>33.700000000000003</v>
      </c>
      <c r="AZ27" s="4">
        <v>8.9</v>
      </c>
      <c r="BA27" s="10">
        <v>12.5</v>
      </c>
      <c r="BB27" s="75">
        <f t="shared" si="43"/>
        <v>485.8</v>
      </c>
      <c r="BC27" s="75">
        <f t="shared" si="43"/>
        <v>648.19999999999993</v>
      </c>
      <c r="BD27" s="74">
        <f t="shared" si="43"/>
        <v>2084.6000000000004</v>
      </c>
      <c r="BE27" s="74">
        <f t="shared" si="43"/>
        <v>2808.4000000000005</v>
      </c>
      <c r="BF27" s="77">
        <f t="shared" si="24"/>
        <v>226.4</v>
      </c>
      <c r="BG27" s="77">
        <f t="shared" si="25"/>
        <v>358.40000000000003</v>
      </c>
      <c r="BH27" s="73">
        <f t="shared" si="26"/>
        <v>22.202098133361211</v>
      </c>
      <c r="BI27" s="73">
        <f t="shared" si="26"/>
        <v>34.65230974293052</v>
      </c>
      <c r="BJ27" s="88">
        <f t="shared" si="27"/>
        <v>12.33</v>
      </c>
      <c r="BK27" s="88">
        <f t="shared" si="27"/>
        <v>19.89</v>
      </c>
      <c r="BL27" s="75">
        <f t="shared" si="21"/>
        <v>437.26372637263728</v>
      </c>
      <c r="BM27" s="75">
        <f t="shared" si="22"/>
        <v>583.43834383438343</v>
      </c>
      <c r="BN27" s="74">
        <f t="shared" si="23"/>
        <v>1876.3276327632766</v>
      </c>
      <c r="BO27" s="74">
        <f t="shared" si="23"/>
        <v>2527.8127812781281</v>
      </c>
      <c r="BP27" s="77">
        <f t="shared" si="28"/>
        <v>172.06406194306228</v>
      </c>
      <c r="BQ27" s="77">
        <f t="shared" si="29"/>
        <v>267.86248131539611</v>
      </c>
      <c r="BR27" s="73">
        <f t="shared" si="30"/>
        <v>22.202098133361211</v>
      </c>
      <c r="BS27" s="73">
        <f t="shared" si="30"/>
        <v>34.65230974293052</v>
      </c>
      <c r="BT27" s="4">
        <f t="shared" si="36"/>
        <v>12.33</v>
      </c>
      <c r="BU27" s="9">
        <f t="shared" si="37"/>
        <v>19.89</v>
      </c>
      <c r="BV27" s="82">
        <f t="shared" si="31"/>
        <v>3.9859154929577465</v>
      </c>
      <c r="BW27" s="82">
        <f t="shared" si="32"/>
        <v>4</v>
      </c>
      <c r="BX27" s="82">
        <f t="shared" si="38"/>
        <v>3</v>
      </c>
      <c r="BY27" s="82">
        <f t="shared" si="39"/>
        <v>3</v>
      </c>
      <c r="BZ27" s="82">
        <f t="shared" si="40"/>
        <v>4.823943661971831</v>
      </c>
      <c r="CA27" s="82">
        <f t="shared" si="40"/>
        <v>4.8499999999999996</v>
      </c>
      <c r="CB27" s="11">
        <f>IF('Clima Beam'!$J$6="9,6",cal!CC27,IF('Clima Beam'!$J$6="15,3",cal!CD27,cal!CE27))</f>
        <v>4.7329000000000008</v>
      </c>
      <c r="CC27" s="1">
        <f t="shared" si="33"/>
        <v>1.7576000000000001</v>
      </c>
      <c r="CD27" s="11">
        <f t="shared" si="34"/>
        <v>4.7329000000000008</v>
      </c>
      <c r="CE27" s="11">
        <f t="shared" si="35"/>
        <v>3.9834000000000001</v>
      </c>
      <c r="CF27" s="1"/>
    </row>
    <row r="28" spans="1:84" ht="15" customHeight="1" x14ac:dyDescent="0.25">
      <c r="B28" s="62">
        <v>270</v>
      </c>
      <c r="C28" s="27">
        <f t="shared" si="2"/>
        <v>4722.2322232223223</v>
      </c>
      <c r="D28" s="51">
        <f t="shared" si="3"/>
        <v>406.03888419796408</v>
      </c>
      <c r="E28" s="65">
        <f t="shared" si="4"/>
        <v>0.8095130062708813</v>
      </c>
      <c r="F28" s="27">
        <f t="shared" si="5"/>
        <v>1017.4617461746174</v>
      </c>
      <c r="G28" s="51">
        <f t="shared" si="0"/>
        <v>437.42981348865635</v>
      </c>
      <c r="H28" s="90">
        <f t="shared" si="6"/>
        <v>0.93951850514323443</v>
      </c>
      <c r="I28" s="27">
        <f t="shared" si="7"/>
        <v>366</v>
      </c>
      <c r="J28" s="29">
        <f t="shared" si="8"/>
        <v>25.420585629524773</v>
      </c>
      <c r="K28" s="28">
        <f t="shared" si="9"/>
        <v>21.7</v>
      </c>
      <c r="M28" s="6">
        <v>190</v>
      </c>
      <c r="N28" s="75">
        <f t="shared" si="41"/>
        <v>753.6</v>
      </c>
      <c r="O28" s="75">
        <f t="shared" si="41"/>
        <v>942.40000000000009</v>
      </c>
      <c r="P28" s="74">
        <f t="shared" si="41"/>
        <v>3497.6</v>
      </c>
      <c r="Q28" s="74">
        <f t="shared" si="41"/>
        <v>5070.3999999999996</v>
      </c>
      <c r="R28" s="78">
        <v>330</v>
      </c>
      <c r="S28" s="78">
        <v>522</v>
      </c>
      <c r="T28" s="73">
        <v>23.871566029667342</v>
      </c>
      <c r="U28" s="73">
        <v>36.32177763923665</v>
      </c>
      <c r="V28" s="4">
        <v>15.7</v>
      </c>
      <c r="W28" s="10">
        <v>25.5</v>
      </c>
      <c r="X28" s="75">
        <f t="shared" si="42"/>
        <v>1140.8000000000002</v>
      </c>
      <c r="Y28" s="75">
        <f t="shared" si="42"/>
        <v>1393.6</v>
      </c>
      <c r="Z28" s="74">
        <f t="shared" si="42"/>
        <v>3779.2000000000003</v>
      </c>
      <c r="AA28" s="74">
        <f t="shared" si="42"/>
        <v>5969.6</v>
      </c>
      <c r="AB28" s="78">
        <v>250</v>
      </c>
      <c r="AC28" s="78">
        <v>530</v>
      </c>
      <c r="AD28" s="73">
        <v>22.1</v>
      </c>
      <c r="AE28" s="73">
        <v>34.1</v>
      </c>
      <c r="AF28" s="4">
        <v>9.6999999999999993</v>
      </c>
      <c r="AG28" s="10">
        <v>13.7</v>
      </c>
      <c r="AH28" s="75">
        <f t="shared" si="12"/>
        <v>678.30783078307832</v>
      </c>
      <c r="AI28" s="75">
        <f t="shared" si="13"/>
        <v>848.24482448244828</v>
      </c>
      <c r="AJ28" s="74">
        <f t="shared" si="14"/>
        <v>3148.1548154815482</v>
      </c>
      <c r="AK28" s="74">
        <f t="shared" si="15"/>
        <v>4563.8163816381639</v>
      </c>
      <c r="AL28" s="78">
        <v>256</v>
      </c>
      <c r="AM28" s="78">
        <v>396</v>
      </c>
      <c r="AN28" s="73">
        <v>23.871566029667342</v>
      </c>
      <c r="AO28" s="73">
        <v>36.32177763923665</v>
      </c>
      <c r="AP28" s="4">
        <v>15.7</v>
      </c>
      <c r="AQ28" s="10">
        <v>25.5</v>
      </c>
      <c r="AR28" s="75">
        <f t="shared" si="16"/>
        <v>1026.822682268227</v>
      </c>
      <c r="AS28" s="75">
        <f t="shared" si="17"/>
        <v>1254.3654365436544</v>
      </c>
      <c r="AT28" s="74">
        <f t="shared" si="18"/>
        <v>3401.6201620162019</v>
      </c>
      <c r="AU28" s="74">
        <f t="shared" si="19"/>
        <v>5373.1773177317737</v>
      </c>
      <c r="AV28" s="78">
        <v>190</v>
      </c>
      <c r="AW28" s="78">
        <v>396</v>
      </c>
      <c r="AX28" s="73">
        <v>22.1</v>
      </c>
      <c r="AY28" s="73">
        <v>34.1</v>
      </c>
      <c r="AZ28" s="4">
        <v>9.6999999999999993</v>
      </c>
      <c r="BA28" s="10">
        <v>13.7</v>
      </c>
      <c r="BB28" s="75">
        <f t="shared" si="43"/>
        <v>555.20000000000005</v>
      </c>
      <c r="BC28" s="75">
        <f t="shared" si="43"/>
        <v>740.8</v>
      </c>
      <c r="BD28" s="74">
        <f t="shared" si="43"/>
        <v>2382.4000000000005</v>
      </c>
      <c r="BE28" s="74">
        <f t="shared" si="43"/>
        <v>3209.6000000000004</v>
      </c>
      <c r="BF28" s="77">
        <f t="shared" si="24"/>
        <v>264</v>
      </c>
      <c r="BG28" s="77">
        <f t="shared" si="25"/>
        <v>417.6</v>
      </c>
      <c r="BH28" s="73">
        <f t="shared" si="26"/>
        <v>22.871566029667342</v>
      </c>
      <c r="BI28" s="73">
        <f t="shared" si="26"/>
        <v>35.32177763923665</v>
      </c>
      <c r="BJ28" s="88">
        <f t="shared" si="27"/>
        <v>14.129999999999999</v>
      </c>
      <c r="BK28" s="88">
        <f t="shared" si="27"/>
        <v>22.95</v>
      </c>
      <c r="BL28" s="75">
        <f t="shared" si="21"/>
        <v>499.7299729972998</v>
      </c>
      <c r="BM28" s="75">
        <f t="shared" si="22"/>
        <v>666.78667866786679</v>
      </c>
      <c r="BN28" s="74">
        <f t="shared" si="23"/>
        <v>2144.3744374437447</v>
      </c>
      <c r="BO28" s="74">
        <f t="shared" si="23"/>
        <v>2888.9288928892893</v>
      </c>
      <c r="BP28" s="77">
        <f t="shared" si="28"/>
        <v>200.640072230426</v>
      </c>
      <c r="BQ28" s="77">
        <f t="shared" si="29"/>
        <v>312.10762331838566</v>
      </c>
      <c r="BR28" s="73">
        <f t="shared" si="30"/>
        <v>22.871566029667342</v>
      </c>
      <c r="BS28" s="73">
        <f t="shared" si="30"/>
        <v>35.32177763923665</v>
      </c>
      <c r="BT28" s="4">
        <f t="shared" si="36"/>
        <v>14.129999999999999</v>
      </c>
      <c r="BU28" s="9">
        <f t="shared" si="37"/>
        <v>22.95</v>
      </c>
      <c r="BV28" s="82">
        <f t="shared" si="31"/>
        <v>4.647887323943662</v>
      </c>
      <c r="BW28" s="82">
        <f t="shared" si="32"/>
        <v>4.6607142857142856</v>
      </c>
      <c r="BX28" s="82">
        <f t="shared" si="38"/>
        <v>3.3333333333333335</v>
      </c>
      <c r="BY28" s="82">
        <f t="shared" si="39"/>
        <v>3.3333333333333335</v>
      </c>
      <c r="BZ28" s="82">
        <f t="shared" si="40"/>
        <v>5.765258215962441</v>
      </c>
      <c r="CA28" s="82">
        <f t="shared" si="40"/>
        <v>5.7889880952380945</v>
      </c>
      <c r="CB28" s="11">
        <f>IF('Clima Beam'!$J$6="9,6",cal!CC28,IF('Clima Beam'!$J$6="15,3",cal!CD28,cal!CE28))</f>
        <v>4.6889000000000003</v>
      </c>
      <c r="CC28" s="1">
        <f t="shared" si="33"/>
        <v>1.6856000000000002</v>
      </c>
      <c r="CD28" s="11">
        <f t="shared" si="34"/>
        <v>4.6889000000000003</v>
      </c>
      <c r="CE28" s="11">
        <f t="shared" si="35"/>
        <v>3.9294000000000002</v>
      </c>
      <c r="CF28" s="1"/>
    </row>
    <row r="29" spans="1:84" ht="15" customHeight="1" x14ac:dyDescent="0.25">
      <c r="B29" s="63">
        <v>290</v>
      </c>
      <c r="C29" s="27">
        <f t="shared" si="2"/>
        <v>5115.7515751575156</v>
      </c>
      <c r="D29" s="52">
        <f t="shared" si="3"/>
        <v>439.87545788112772</v>
      </c>
      <c r="E29" s="65">
        <f t="shared" si="4"/>
        <v>0.96885367422551338</v>
      </c>
      <c r="F29" s="27">
        <f t="shared" si="5"/>
        <v>1102.250225022502</v>
      </c>
      <c r="G29" s="52">
        <f t="shared" si="0"/>
        <v>473.88229794604433</v>
      </c>
      <c r="H29" s="91">
        <f t="shared" si="6"/>
        <v>1.1244488336315777</v>
      </c>
      <c r="I29" s="27">
        <f t="shared" si="7"/>
        <v>403</v>
      </c>
      <c r="J29" s="29">
        <f t="shared" si="8"/>
        <v>25.834512481107026</v>
      </c>
      <c r="K29" s="28">
        <f t="shared" si="9"/>
        <v>23.7</v>
      </c>
      <c r="M29" s="6">
        <v>210</v>
      </c>
      <c r="N29" s="75">
        <f t="shared" si="41"/>
        <v>847.8</v>
      </c>
      <c r="O29" s="75">
        <f t="shared" si="41"/>
        <v>1060.2</v>
      </c>
      <c r="P29" s="74">
        <f t="shared" si="41"/>
        <v>3934.7999999999997</v>
      </c>
      <c r="Q29" s="74">
        <f t="shared" si="41"/>
        <v>5704.2</v>
      </c>
      <c r="R29" s="78">
        <v>377</v>
      </c>
      <c r="S29" s="78">
        <v>597</v>
      </c>
      <c r="T29" s="73">
        <v>23.871566029667342</v>
      </c>
      <c r="U29" s="73">
        <v>37</v>
      </c>
      <c r="V29" s="4">
        <v>18</v>
      </c>
      <c r="W29" s="10">
        <v>29</v>
      </c>
      <c r="X29" s="75">
        <f t="shared" si="42"/>
        <v>1283.4000000000001</v>
      </c>
      <c r="Y29" s="75">
        <f t="shared" si="42"/>
        <v>1567.7999999999997</v>
      </c>
      <c r="Z29" s="74">
        <f t="shared" si="42"/>
        <v>4251.6000000000004</v>
      </c>
      <c r="AA29" s="74">
        <f t="shared" si="42"/>
        <v>6715.8</v>
      </c>
      <c r="AB29" s="78">
        <v>275</v>
      </c>
      <c r="AC29" s="78">
        <v>583</v>
      </c>
      <c r="AD29" s="73">
        <v>23</v>
      </c>
      <c r="AE29" s="73">
        <v>35</v>
      </c>
      <c r="AF29" s="4">
        <v>10.5</v>
      </c>
      <c r="AG29" s="10">
        <v>14.9</v>
      </c>
      <c r="AH29" s="75">
        <f t="shared" si="12"/>
        <v>763.09630963096311</v>
      </c>
      <c r="AI29" s="75">
        <f t="shared" si="13"/>
        <v>954.2754275427543</v>
      </c>
      <c r="AJ29" s="74">
        <f t="shared" si="14"/>
        <v>3541.6741674167415</v>
      </c>
      <c r="AK29" s="74">
        <f t="shared" si="15"/>
        <v>5134.2934293429344</v>
      </c>
      <c r="AL29" s="78">
        <v>293</v>
      </c>
      <c r="AM29" s="78">
        <v>453</v>
      </c>
      <c r="AN29" s="73">
        <v>23.871566029667342</v>
      </c>
      <c r="AO29" s="73">
        <v>36.32177763923665</v>
      </c>
      <c r="AP29" s="4">
        <v>18</v>
      </c>
      <c r="AQ29" s="10">
        <v>19</v>
      </c>
      <c r="AR29" s="75">
        <f t="shared" si="16"/>
        <v>1155.1755175517553</v>
      </c>
      <c r="AS29" s="75">
        <f t="shared" si="17"/>
        <v>1411.1611161116109</v>
      </c>
      <c r="AT29" s="74">
        <f t="shared" si="18"/>
        <v>3826.8226822682273</v>
      </c>
      <c r="AU29" s="74">
        <f t="shared" si="19"/>
        <v>6044.8244824482454</v>
      </c>
      <c r="AV29" s="78">
        <v>209</v>
      </c>
      <c r="AW29" s="78">
        <v>436</v>
      </c>
      <c r="AX29" s="73">
        <v>22.1</v>
      </c>
      <c r="AY29" s="73">
        <v>34.1</v>
      </c>
      <c r="AZ29" s="4">
        <v>10.5</v>
      </c>
      <c r="BA29" s="10">
        <v>14.9</v>
      </c>
      <c r="BB29" s="75">
        <f t="shared" si="43"/>
        <v>624.6</v>
      </c>
      <c r="BC29" s="75">
        <f t="shared" si="43"/>
        <v>833.4</v>
      </c>
      <c r="BD29" s="74">
        <f t="shared" si="43"/>
        <v>2680.2000000000003</v>
      </c>
      <c r="BE29" s="74">
        <f t="shared" si="43"/>
        <v>3610.8</v>
      </c>
      <c r="BF29" s="77">
        <f t="shared" si="24"/>
        <v>301.60000000000002</v>
      </c>
      <c r="BG29" s="77">
        <f t="shared" si="25"/>
        <v>477.6</v>
      </c>
      <c r="BH29" s="73">
        <f t="shared" si="26"/>
        <v>22.871566029667342</v>
      </c>
      <c r="BI29" s="73">
        <f t="shared" si="26"/>
        <v>36</v>
      </c>
      <c r="BJ29" s="88">
        <f t="shared" si="27"/>
        <v>16.2</v>
      </c>
      <c r="BK29" s="88">
        <f t="shared" si="27"/>
        <v>26.1</v>
      </c>
      <c r="BL29" s="75">
        <f t="shared" si="21"/>
        <v>562.1962196219622</v>
      </c>
      <c r="BM29" s="75">
        <f t="shared" si="22"/>
        <v>750.13501350135016</v>
      </c>
      <c r="BN29" s="74">
        <f t="shared" si="23"/>
        <v>2412.4212421242128</v>
      </c>
      <c r="BO29" s="74">
        <f t="shared" si="23"/>
        <v>3250.0450045004504</v>
      </c>
      <c r="BP29" s="77">
        <f t="shared" si="28"/>
        <v>229.21608251778972</v>
      </c>
      <c r="BQ29" s="77">
        <f t="shared" si="29"/>
        <v>356.95067264573993</v>
      </c>
      <c r="BR29" s="73">
        <f t="shared" si="30"/>
        <v>22.871566029667342</v>
      </c>
      <c r="BS29" s="73">
        <f t="shared" si="30"/>
        <v>36</v>
      </c>
      <c r="BT29" s="4">
        <f t="shared" si="36"/>
        <v>16.2</v>
      </c>
      <c r="BU29" s="9">
        <f t="shared" si="37"/>
        <v>26.1</v>
      </c>
      <c r="BV29" s="82">
        <f t="shared" si="31"/>
        <v>5.3098591549295771</v>
      </c>
      <c r="BW29" s="82">
        <f t="shared" si="32"/>
        <v>5.3303571428571432</v>
      </c>
      <c r="BX29" s="82">
        <f t="shared" si="38"/>
        <v>3.6666666666666665</v>
      </c>
      <c r="BY29" s="82">
        <f t="shared" si="39"/>
        <v>3.6666666666666665</v>
      </c>
      <c r="BZ29" s="82">
        <f t="shared" si="40"/>
        <v>6.7065727699530511</v>
      </c>
      <c r="CA29" s="82">
        <f t="shared" si="40"/>
        <v>6.7444940476190487</v>
      </c>
      <c r="CB29" s="11">
        <f>IF('Clima Beam'!$J$6="9,6",cal!CC29,IF('Clima Beam'!$J$6="15,3",cal!CD29,cal!CE29))</f>
        <v>4.6449000000000007</v>
      </c>
      <c r="CC29" s="1">
        <f t="shared" si="33"/>
        <v>1.6136000000000001</v>
      </c>
      <c r="CD29" s="11">
        <f t="shared" si="34"/>
        <v>4.6449000000000007</v>
      </c>
      <c r="CE29" s="11">
        <f t="shared" si="35"/>
        <v>3.8754</v>
      </c>
      <c r="CF29" s="1"/>
    </row>
    <row r="30" spans="1:84" ht="15" customHeight="1" x14ac:dyDescent="0.25">
      <c r="B30" s="132" t="str">
        <f>IF($M$5=1,NL!B31,IF($M$5=2,EN!B31,IF($M$5=3,DE!B31,IF($M$5=4,FR!B31,IF($M$5=5,NR!B31,IF($M$5=6,SP!B31,IF($M$5=7,SW!B31,IF($M$5=8,TS!B31,IF($M$5=9,ExtraTaal1!B31,IF($M$5=10,ExtraTaal2!B31,IF($M$5=11,ExtraTaal3!B31,)))))))))))</f>
        <v>* Sound pressure at an assumed room damping of 8dB (A)</v>
      </c>
      <c r="C30" s="132">
        <f>IF($M$5=1,NL!C30,IF($M$5=2,EN!C30,IF($M$5=3,DE!C30,IF($M$5=4,FR!C30,IF($M$5=5,NR!C30,IF($M$5=6,SP!C30,IF($M$5=7,SW!C30,IF($M$5=8,TS!C30,IF($M$5=9,ExtraTaal1!C30,IF($M$5=10,ExtraTaal2!C30,IF($M$5=11,ExtraTaal3!C30,)))))))))))</f>
        <v>0</v>
      </c>
      <c r="D30" s="132">
        <f>IF($M$5=1,NL!D30,IF($M$5=2,EN!D30,IF($M$5=3,DE!D30,IF($M$5=4,FR!D30,IF($M$5=5,NR!D30,IF($M$5=6,SP!D30,IF($M$5=7,SW!D30,IF($M$5=8,TS!D30,IF($M$5=9,ExtraTaal1!D30,IF($M$5=10,ExtraTaal2!D30,IF($M$5=11,ExtraTaal3!D30,)))))))))))</f>
        <v>0</v>
      </c>
      <c r="E30" s="132">
        <f>IF($M$5=1,NL!E30,IF($M$5=2,EN!E30,IF($M$5=3,DE!E30,IF($M$5=4,FR!E30,IF($M$5=5,NR!E30,IF($M$5=6,SP!E30,IF($M$5=7,SW!E30,IF($M$5=8,TS!E30,IF($M$5=9,ExtraTaal1!E30,IF($M$5=10,ExtraTaal2!E30,IF($M$5=11,ExtraTaal3!E30,)))))))))))</f>
        <v>0</v>
      </c>
      <c r="F30" s="132">
        <f>IF($M$5=1,NL!F30,IF($M$5=2,EN!F30,IF($M$5=3,DE!F30,IF($M$5=4,FR!F30,IF($M$5=5,NR!F30,IF($M$5=6,SP!F30,IF($M$5=7,SW!F30,IF($M$5=8,TS!F30,IF($M$5=9,ExtraTaal1!F30,IF($M$5=10,ExtraTaal2!F30,IF($M$5=11,ExtraTaal3!F30,)))))))))))</f>
        <v>0</v>
      </c>
      <c r="G30" s="132">
        <f>IF($M$5=1,NL!G30,IF($M$5=2,EN!G30,IF($M$5=3,DE!G30,IF($M$5=4,FR!G30,IF($M$5=5,NR!G30,IF($M$5=6,SP!G30,IF($M$5=7,SW!G30,IF($M$5=8,TS!G30,IF($M$5=9,ExtraTaal1!G30,IF($M$5=10,ExtraTaal2!G30,IF($M$5=11,ExtraTaal3!G30,)))))))))))</f>
        <v>0</v>
      </c>
      <c r="H30" s="132">
        <f>IF($M$5=1,NL!H30,IF($M$5=2,EN!H30,IF($M$5=3,DE!H30,IF($M$5=4,FR!H30,IF($M$5=5,NR!H30,IF($M$5=6,SP!H30,IF($M$5=7,SW!H30,IF($M$5=8,TS!H30,IF($M$5=9,ExtraTaal1!H30,IF($M$5=10,ExtraTaal2!H30,IF($M$5=11,ExtraTaal3!H30,)))))))))))</f>
        <v>0</v>
      </c>
      <c r="I30" s="132">
        <f>IF($M$5=1,NL!I30,IF($M$5=2,EN!I30,IF($M$5=3,DE!I30,IF($M$5=4,FR!I30,IF($M$5=5,NR!I30,IF($M$5=6,SP!I30,IF($M$5=7,SW!I30,IF($M$5=8,TS!I30,IF($M$5=9,ExtraTaal1!I30,IF($M$5=10,ExtraTaal2!I30,IF($M$5=11,ExtraTaal3!I30,)))))))))))</f>
        <v>0</v>
      </c>
      <c r="J30" s="132">
        <f>IF($M$5=1,NL!J30,IF($M$5=2,EN!J30,IF($M$5=3,DE!J30,IF($M$5=4,FR!J30,IF($M$5=5,NR!J30,IF($M$5=6,SP!J30,IF($M$5=7,SW!J30,IF($M$5=8,TS!J30,IF($M$5=9,ExtraTaal1!J30,IF($M$5=10,ExtraTaal2!J30,IF($M$5=11,ExtraTaal3!J30,)))))))))))</f>
        <v>0</v>
      </c>
      <c r="K30" s="132">
        <f>IF($M$5=1,NL!K30,IF($M$5=2,EN!K30,IF($M$5=3,DE!K30,IF($M$5=4,FR!K30,IF($M$5=5,NR!K30,IF($M$5=6,SP!K30,IF($M$5=7,SW!K30,IF($M$5=8,TS!K30,IF($M$5=9,ExtraTaal1!K30,IF($M$5=10,ExtraTaal2!K30,IF($M$5=11,ExtraTaal3!K30,)))))))))))</f>
        <v>0</v>
      </c>
      <c r="M30" s="6">
        <v>230</v>
      </c>
      <c r="N30" s="75">
        <f t="shared" si="41"/>
        <v>942</v>
      </c>
      <c r="O30" s="75">
        <f t="shared" si="41"/>
        <v>1178</v>
      </c>
      <c r="P30" s="74">
        <f t="shared" si="41"/>
        <v>4372</v>
      </c>
      <c r="Q30" s="74">
        <f t="shared" si="41"/>
        <v>6338</v>
      </c>
      <c r="R30" s="78">
        <v>377</v>
      </c>
      <c r="S30" s="78">
        <v>597</v>
      </c>
      <c r="T30" s="73">
        <v>24.45148549944421</v>
      </c>
      <c r="U30" s="73">
        <v>36.901697109013519</v>
      </c>
      <c r="V30" s="4">
        <v>17.7</v>
      </c>
      <c r="W30" s="10">
        <v>28.9</v>
      </c>
      <c r="X30" s="75">
        <f t="shared" si="42"/>
        <v>1426.0000000000002</v>
      </c>
      <c r="Y30" s="75">
        <f t="shared" si="42"/>
        <v>1741.9999999999998</v>
      </c>
      <c r="Z30" s="74">
        <f t="shared" si="42"/>
        <v>4724</v>
      </c>
      <c r="AA30" s="74">
        <f t="shared" si="42"/>
        <v>7462</v>
      </c>
      <c r="AB30" s="78">
        <v>300</v>
      </c>
      <c r="AC30" s="78">
        <v>636</v>
      </c>
      <c r="AD30" s="73">
        <v>22.9</v>
      </c>
      <c r="AE30" s="73">
        <v>34.9</v>
      </c>
      <c r="AF30" s="4">
        <v>11.3</v>
      </c>
      <c r="AG30" s="10">
        <v>16.100000000000001</v>
      </c>
      <c r="AH30" s="75">
        <f t="shared" si="12"/>
        <v>847.8847884788479</v>
      </c>
      <c r="AI30" s="75">
        <f t="shared" si="13"/>
        <v>1060.3060306030602</v>
      </c>
      <c r="AJ30" s="74">
        <f t="shared" si="14"/>
        <v>3935.1935193519353</v>
      </c>
      <c r="AK30" s="74">
        <f t="shared" si="15"/>
        <v>5704.7704770477048</v>
      </c>
      <c r="AL30" s="78">
        <v>293</v>
      </c>
      <c r="AM30" s="78">
        <v>453</v>
      </c>
      <c r="AN30" s="73">
        <v>24.45148549944421</v>
      </c>
      <c r="AO30" s="73">
        <v>36.901697109013519</v>
      </c>
      <c r="AP30" s="4">
        <v>17.7</v>
      </c>
      <c r="AQ30" s="10">
        <v>28.9</v>
      </c>
      <c r="AR30" s="75">
        <f t="shared" si="16"/>
        <v>1283.5283528352838</v>
      </c>
      <c r="AS30" s="75">
        <f t="shared" si="17"/>
        <v>1567.9567956795677</v>
      </c>
      <c r="AT30" s="74">
        <f t="shared" si="18"/>
        <v>4252.0252025202517</v>
      </c>
      <c r="AU30" s="74">
        <f t="shared" si="19"/>
        <v>6716.4716471647162</v>
      </c>
      <c r="AV30" s="78">
        <v>228</v>
      </c>
      <c r="AW30" s="78">
        <v>475</v>
      </c>
      <c r="AX30" s="73">
        <v>22.9</v>
      </c>
      <c r="AY30" s="73">
        <v>34.9</v>
      </c>
      <c r="AZ30" s="4">
        <v>11.3</v>
      </c>
      <c r="BA30" s="10">
        <v>16.100000000000001</v>
      </c>
      <c r="BB30" s="75">
        <f t="shared" si="43"/>
        <v>694</v>
      </c>
      <c r="BC30" s="75">
        <f t="shared" si="43"/>
        <v>926</v>
      </c>
      <c r="BD30" s="74">
        <f t="shared" si="43"/>
        <v>2978.0000000000005</v>
      </c>
      <c r="BE30" s="74">
        <f t="shared" si="43"/>
        <v>4012.0000000000005</v>
      </c>
      <c r="BF30" s="77">
        <f t="shared" si="24"/>
        <v>301.60000000000002</v>
      </c>
      <c r="BG30" s="77">
        <f t="shared" si="25"/>
        <v>477.6</v>
      </c>
      <c r="BH30" s="73">
        <f t="shared" si="26"/>
        <v>23.45148549944421</v>
      </c>
      <c r="BI30" s="73">
        <f t="shared" si="26"/>
        <v>35.901697109013519</v>
      </c>
      <c r="BJ30" s="88">
        <f t="shared" si="27"/>
        <v>15.93</v>
      </c>
      <c r="BK30" s="88">
        <f t="shared" si="27"/>
        <v>26.009999999999998</v>
      </c>
      <c r="BL30" s="75">
        <f>BB30/1.111</f>
        <v>624.66246624662472</v>
      </c>
      <c r="BM30" s="75">
        <f>BC30/1.111</f>
        <v>833.48334833483352</v>
      </c>
      <c r="BN30" s="74">
        <f>BD30/1.111</f>
        <v>2680.4680468046809</v>
      </c>
      <c r="BO30" s="74">
        <f>BE30/1.111</f>
        <v>3611.1611161116116</v>
      </c>
      <c r="BP30" s="77">
        <f t="shared" si="28"/>
        <v>229.21608251778972</v>
      </c>
      <c r="BQ30" s="77">
        <f t="shared" si="29"/>
        <v>356.95067264573993</v>
      </c>
      <c r="BR30" s="73">
        <f t="shared" si="30"/>
        <v>23.45148549944421</v>
      </c>
      <c r="BS30" s="73">
        <f t="shared" si="30"/>
        <v>35.901697109013519</v>
      </c>
      <c r="BT30" s="4">
        <f t="shared" si="36"/>
        <v>15.93</v>
      </c>
      <c r="BU30" s="9">
        <f t="shared" si="37"/>
        <v>26.009999999999998</v>
      </c>
      <c r="BV30" s="82">
        <f t="shared" si="31"/>
        <v>5.3098591549295771</v>
      </c>
      <c r="BW30" s="82">
        <f t="shared" si="32"/>
        <v>5.3303571428571432</v>
      </c>
      <c r="BX30" s="82">
        <f t="shared" si="38"/>
        <v>4</v>
      </c>
      <c r="BY30" s="82">
        <f t="shared" si="39"/>
        <v>4</v>
      </c>
      <c r="BZ30" s="82">
        <f t="shared" si="40"/>
        <v>6.423239436619717</v>
      </c>
      <c r="CA30" s="82">
        <f t="shared" si="40"/>
        <v>6.4611607142857146</v>
      </c>
      <c r="CB30" s="11">
        <f>IF('Clima Beam'!$J$6="9,6",cal!CC30,IF('Clima Beam'!$J$6="15,3",cal!CD30,cal!CE30))</f>
        <v>4.6009000000000002</v>
      </c>
      <c r="CC30" s="1">
        <f t="shared" si="33"/>
        <v>1.5416000000000003</v>
      </c>
      <c r="CD30" s="11">
        <f t="shared" si="34"/>
        <v>4.6009000000000002</v>
      </c>
      <c r="CE30" s="11">
        <f t="shared" si="35"/>
        <v>3.8214000000000001</v>
      </c>
      <c r="CF30" s="1"/>
    </row>
    <row r="31" spans="1:84" ht="64.5" customHeight="1" x14ac:dyDescent="0.25">
      <c r="B31" s="93" t="str">
        <f>IF($M$5=1,NL!B32,IF($M$5=2,EN!B32,IF($M$5=3,DE!B32,IF($M$5=4,FR!B32,IF($M$5=5,NR!B32,IF($M$5=6,SP!B32,IF($M$5=7,SW!B32,IF($M$5=8,TS!B32,IF($M$5=9,ExtraTaal1!B32,IF($M$5=10,ExtraTaal2!B32,IF($M$5=11,ExtraTaal3!B32,)))))))))))</f>
        <v xml:space="preserve">Attention:
The temperature at which water vapor starts to condense in the ambient air is called the dew point temperature. Condensate can damage both the device and its environment. The device does not switch off when the dew point is reached. The customer should therefore check the dew point temperature and prevent the temperature from dropping below the dew point. Jaga N.V. cannot be held liable for damage caused by condensate.
</v>
      </c>
      <c r="C31" s="93">
        <f>IF($M$5=1,NL!C31,IF($M$5=2,EN!C31,IF($M$5=3,DE!C31,IF($M$5=4,FR!C31,IF($M$5=5,NR!C31,IF($M$5=6,SP!C31,IF($M$5=7,SW!C31,IF($M$5=8,TS!C31,IF($M$5=9,ExtraTaal1!C31,IF($M$5=10,ExtraTaal2!C31,IF($M$5=11,ExtraTaal3!C31,)))))))))))</f>
        <v>0</v>
      </c>
      <c r="D31" s="93">
        <f>IF($M$5=1,NL!D31,IF($M$5=2,EN!D31,IF($M$5=3,DE!D31,IF($M$5=4,FR!D31,IF($M$5=5,NR!D31,IF($M$5=6,SP!D31,IF($M$5=7,SW!D31,IF($M$5=8,TS!D31,IF($M$5=9,ExtraTaal1!D31,IF($M$5=10,ExtraTaal2!D31,IF($M$5=11,ExtraTaal3!D31,)))))))))))</f>
        <v>0</v>
      </c>
      <c r="E31" s="93">
        <f>IF($M$5=1,NL!E31,IF($M$5=2,EN!E31,IF($M$5=3,DE!E31,IF($M$5=4,FR!E31,IF($M$5=5,NR!E31,IF($M$5=6,SP!E31,IF($M$5=7,SW!E31,IF($M$5=8,TS!E31,IF($M$5=9,ExtraTaal1!E31,IF($M$5=10,ExtraTaal2!E31,IF($M$5=11,ExtraTaal3!E31,)))))))))))</f>
        <v>0</v>
      </c>
      <c r="F31" s="93">
        <f>IF($M$5=1,NL!F31,IF($M$5=2,EN!F31,IF($M$5=3,DE!F31,IF($M$5=4,FR!F31,IF($M$5=5,NR!F31,IF($M$5=6,SP!F31,IF($M$5=7,SW!F31,IF($M$5=8,TS!F31,IF($M$5=9,ExtraTaal1!F31,IF($M$5=10,ExtraTaal2!F31,IF($M$5=11,ExtraTaal3!F31,)))))))))))</f>
        <v>0</v>
      </c>
      <c r="G31" s="93">
        <f>IF($M$5=1,NL!G31,IF($M$5=2,EN!G31,IF($M$5=3,DE!G31,IF($M$5=4,FR!G31,IF($M$5=5,NR!G31,IF($M$5=6,SP!G31,IF($M$5=7,SW!G31,IF($M$5=8,TS!G31,IF($M$5=9,ExtraTaal1!G31,IF($M$5=10,ExtraTaal2!G31,IF($M$5=11,ExtraTaal3!G31,)))))))))))</f>
        <v>0</v>
      </c>
      <c r="H31" s="93">
        <f>IF($M$5=1,NL!H31,IF($M$5=2,EN!H31,IF($M$5=3,DE!H31,IF($M$5=4,FR!H31,IF($M$5=5,NR!H31,IF($M$5=6,SP!H31,IF($M$5=7,SW!H31,IF($M$5=8,TS!H31,IF($M$5=9,ExtraTaal1!H31,IF($M$5=10,ExtraTaal2!H31,IF($M$5=11,ExtraTaal3!H31,)))))))))))</f>
        <v>0</v>
      </c>
      <c r="I31" s="93">
        <f>IF($M$5=1,NL!I31,IF($M$5=2,EN!I31,IF($M$5=3,DE!I31,IF($M$5=4,FR!I31,IF($M$5=5,NR!I31,IF($M$5=6,SP!I31,IF($M$5=7,SW!I31,IF($M$5=8,TS!I31,IF($M$5=9,ExtraTaal1!I31,IF($M$5=10,ExtraTaal2!I31,IF($M$5=11,ExtraTaal3!I31,)))))))))))</f>
        <v>0</v>
      </c>
      <c r="J31" s="93">
        <f>IF($M$5=1,NL!J31,IF($M$5=2,EN!J31,IF($M$5=3,DE!J31,IF($M$5=4,FR!J31,IF($M$5=5,NR!J31,IF($M$5=6,SP!J31,IF($M$5=7,SW!J31,IF($M$5=8,TS!J31,IF($M$5=9,ExtraTaal1!J31,IF($M$5=10,ExtraTaal2!J31,IF($M$5=11,ExtraTaal3!J31,)))))))))))</f>
        <v>0</v>
      </c>
      <c r="K31" s="93">
        <f>IF($M$5=1,NL!K31,IF($M$5=2,EN!K31,IF($M$5=3,DE!K31,IF($M$5=4,FR!K31,IF($M$5=5,NR!K31,IF($M$5=6,SP!K31,IF($M$5=7,SW!K31,IF($M$5=8,TS!K31,IF($M$5=9,ExtraTaal1!K31,IF($M$5=10,ExtraTaal2!K31,IF($M$5=11,ExtraTaal3!K31,)))))))))))</f>
        <v>0</v>
      </c>
      <c r="M31" s="6">
        <v>250</v>
      </c>
      <c r="N31" s="75">
        <f t="shared" si="41"/>
        <v>1036.2</v>
      </c>
      <c r="O31" s="75">
        <f t="shared" si="41"/>
        <v>1295.8000000000002</v>
      </c>
      <c r="P31" s="74">
        <f t="shared" si="41"/>
        <v>4809.2</v>
      </c>
      <c r="Q31" s="74">
        <f t="shared" si="41"/>
        <v>6971.7999999999993</v>
      </c>
      <c r="R31" s="78">
        <v>448</v>
      </c>
      <c r="S31" s="78">
        <v>709</v>
      </c>
      <c r="T31" s="73">
        <v>24.963010723918025</v>
      </c>
      <c r="U31" s="73">
        <v>37.413222333487333</v>
      </c>
      <c r="V31" s="4">
        <v>21</v>
      </c>
      <c r="W31" s="10">
        <v>34</v>
      </c>
      <c r="X31" s="75">
        <f t="shared" si="42"/>
        <v>1568.6000000000001</v>
      </c>
      <c r="Y31" s="75">
        <f t="shared" si="42"/>
        <v>1916.1999999999998</v>
      </c>
      <c r="Z31" s="74">
        <f t="shared" si="42"/>
        <v>5196.4000000000005</v>
      </c>
      <c r="AA31" s="74">
        <f t="shared" si="42"/>
        <v>8208.2000000000007</v>
      </c>
      <c r="AB31" s="78">
        <v>350</v>
      </c>
      <c r="AC31" s="78">
        <v>742</v>
      </c>
      <c r="AD31" s="73">
        <v>23.6</v>
      </c>
      <c r="AE31" s="73">
        <v>35.6</v>
      </c>
      <c r="AF31" s="4">
        <v>12.9</v>
      </c>
      <c r="AG31" s="10">
        <v>18.5</v>
      </c>
      <c r="AH31" s="75">
        <f t="shared" si="12"/>
        <v>932.67326732673268</v>
      </c>
      <c r="AI31" s="75">
        <f t="shared" si="13"/>
        <v>1166.3366336633665</v>
      </c>
      <c r="AJ31" s="80">
        <f t="shared" si="14"/>
        <v>4328.712871287129</v>
      </c>
      <c r="AK31" s="80">
        <f t="shared" si="15"/>
        <v>6275.2475247524744</v>
      </c>
      <c r="AL31" s="78">
        <v>348</v>
      </c>
      <c r="AM31" s="78">
        <v>538</v>
      </c>
      <c r="AN31" s="73">
        <v>24.963010723918025</v>
      </c>
      <c r="AO31" s="73">
        <v>37.413222333487333</v>
      </c>
      <c r="AP31" s="4">
        <v>21</v>
      </c>
      <c r="AQ31" s="10">
        <v>34</v>
      </c>
      <c r="AR31" s="75">
        <f t="shared" si="16"/>
        <v>1411.8811881188121</v>
      </c>
      <c r="AS31" s="75">
        <f t="shared" si="17"/>
        <v>1724.7524752475247</v>
      </c>
      <c r="AT31" s="80">
        <f t="shared" si="18"/>
        <v>4677.227722772278</v>
      </c>
      <c r="AU31" s="80">
        <f t="shared" si="19"/>
        <v>7388.1188118811888</v>
      </c>
      <c r="AV31" s="78">
        <v>266</v>
      </c>
      <c r="AW31" s="78">
        <v>554</v>
      </c>
      <c r="AX31" s="73">
        <v>23.6</v>
      </c>
      <c r="AY31" s="73">
        <v>35.6</v>
      </c>
      <c r="AZ31" s="4">
        <v>12.9</v>
      </c>
      <c r="BA31" s="10">
        <v>18.5</v>
      </c>
      <c r="BB31" s="75">
        <f t="shared" si="43"/>
        <v>763.40000000000009</v>
      </c>
      <c r="BC31" s="75">
        <f t="shared" si="43"/>
        <v>1018.6</v>
      </c>
      <c r="BD31" s="74">
        <f t="shared" si="43"/>
        <v>3275.8000000000006</v>
      </c>
      <c r="BE31" s="74">
        <f t="shared" si="43"/>
        <v>4413.2000000000007</v>
      </c>
      <c r="BF31" s="77">
        <f t="shared" si="24"/>
        <v>358.40000000000003</v>
      </c>
      <c r="BG31" s="77">
        <f t="shared" si="25"/>
        <v>567.20000000000005</v>
      </c>
      <c r="BH31" s="73">
        <f t="shared" si="26"/>
        <v>23.963010723918025</v>
      </c>
      <c r="BI31" s="73">
        <f t="shared" si="26"/>
        <v>36.413222333487333</v>
      </c>
      <c r="BJ31" s="88">
        <f t="shared" si="27"/>
        <v>18.900000000000002</v>
      </c>
      <c r="BK31" s="88">
        <f t="shared" si="27"/>
        <v>30.6</v>
      </c>
      <c r="BL31" s="75">
        <f t="shared" ref="BL31:BL33" si="44">BB31/1.111</f>
        <v>687.12871287128723</v>
      </c>
      <c r="BM31" s="75">
        <f t="shared" ref="BM31:BM33" si="45">BC31/1.111</f>
        <v>916.83168316831689</v>
      </c>
      <c r="BN31" s="74">
        <f t="shared" ref="BN31:BO33" si="46">BD31/1.111</f>
        <v>2948.5148514851489</v>
      </c>
      <c r="BO31" s="74">
        <f t="shared" si="46"/>
        <v>3972.2772277227727</v>
      </c>
      <c r="BP31" s="77">
        <f t="shared" si="28"/>
        <v>272.3840980582753</v>
      </c>
      <c r="BQ31" s="77">
        <f t="shared" si="29"/>
        <v>423.91629297458894</v>
      </c>
      <c r="BR31" s="73">
        <f t="shared" si="30"/>
        <v>23.963010723918025</v>
      </c>
      <c r="BS31" s="73">
        <f t="shared" si="30"/>
        <v>36.413222333487333</v>
      </c>
      <c r="BT31" s="4">
        <f t="shared" si="36"/>
        <v>18.900000000000002</v>
      </c>
      <c r="BU31" s="9">
        <f t="shared" si="37"/>
        <v>30.6</v>
      </c>
      <c r="BV31" s="82">
        <f t="shared" si="31"/>
        <v>6.3098591549295771</v>
      </c>
      <c r="BW31" s="82">
        <f t="shared" si="32"/>
        <v>6.3303571428571432</v>
      </c>
      <c r="BX31" s="82">
        <f t="shared" si="38"/>
        <v>4.666666666666667</v>
      </c>
      <c r="BY31" s="82">
        <f t="shared" si="39"/>
        <v>4.666666666666667</v>
      </c>
      <c r="BZ31" s="82">
        <f t="shared" si="40"/>
        <v>7.7065727699530502</v>
      </c>
      <c r="CA31" s="82">
        <f t="shared" si="40"/>
        <v>7.7444940476190478</v>
      </c>
      <c r="CB31" s="11">
        <f>IF('Clima Beam'!$J$6="9,6",cal!CC31,IF('Clima Beam'!$J$6="15,3",cal!CD31,cal!CE31))</f>
        <v>4.5569000000000006</v>
      </c>
      <c r="CC31" s="1">
        <f t="shared" si="33"/>
        <v>1.4696000000000002</v>
      </c>
      <c r="CD31" s="11">
        <f t="shared" si="34"/>
        <v>4.5569000000000006</v>
      </c>
      <c r="CE31" s="11">
        <f t="shared" si="35"/>
        <v>3.7674000000000003</v>
      </c>
      <c r="CF31" s="1"/>
    </row>
    <row r="32" spans="1:84" ht="12" customHeight="1" x14ac:dyDescent="0.25">
      <c r="B32" s="118" t="s">
        <v>128</v>
      </c>
      <c r="C32" s="118"/>
      <c r="D32" s="118"/>
      <c r="E32" s="118"/>
      <c r="F32" s="118"/>
      <c r="G32" s="118"/>
      <c r="H32" s="118"/>
      <c r="I32" s="118"/>
      <c r="J32" s="118"/>
      <c r="K32" s="118"/>
      <c r="M32" s="6">
        <v>270</v>
      </c>
      <c r="N32" s="75">
        <f t="shared" si="41"/>
        <v>1130.4000000000001</v>
      </c>
      <c r="O32" s="75">
        <f t="shared" si="41"/>
        <v>1413.6000000000001</v>
      </c>
      <c r="P32" s="74">
        <f t="shared" si="41"/>
        <v>5246.4</v>
      </c>
      <c r="Q32" s="74">
        <f t="shared" si="41"/>
        <v>7605.5999999999995</v>
      </c>
      <c r="R32" s="78">
        <v>472</v>
      </c>
      <c r="S32" s="78">
        <v>746</v>
      </c>
      <c r="T32" s="73">
        <v>25.420585629524773</v>
      </c>
      <c r="U32" s="73">
        <v>37.870797239094081</v>
      </c>
      <c r="V32" s="4">
        <v>21.7</v>
      </c>
      <c r="W32" s="10">
        <v>35.700000000000003</v>
      </c>
      <c r="X32" s="75">
        <f t="shared" si="42"/>
        <v>1711.2000000000003</v>
      </c>
      <c r="Y32" s="75">
        <f t="shared" si="42"/>
        <v>2090.3999999999996</v>
      </c>
      <c r="Z32" s="74">
        <f t="shared" si="42"/>
        <v>5668.8</v>
      </c>
      <c r="AA32" s="74">
        <f t="shared" si="42"/>
        <v>8954.4000000000015</v>
      </c>
      <c r="AB32" s="78">
        <v>375</v>
      </c>
      <c r="AC32" s="78">
        <v>795</v>
      </c>
      <c r="AD32" s="73">
        <v>23.9</v>
      </c>
      <c r="AE32" s="73">
        <v>35.9</v>
      </c>
      <c r="AF32" s="4">
        <v>13.7</v>
      </c>
      <c r="AG32" s="10">
        <v>19.7</v>
      </c>
      <c r="AH32" s="75">
        <f t="shared" si="12"/>
        <v>1017.4617461746176</v>
      </c>
      <c r="AI32" s="75">
        <f t="shared" si="13"/>
        <v>1272.3672367236725</v>
      </c>
      <c r="AJ32" s="74">
        <f t="shared" si="14"/>
        <v>4722.2322232223223</v>
      </c>
      <c r="AK32" s="74">
        <f t="shared" si="15"/>
        <v>6845.7245724572449</v>
      </c>
      <c r="AL32" s="78">
        <v>366</v>
      </c>
      <c r="AM32" s="78">
        <v>566</v>
      </c>
      <c r="AN32" s="73">
        <v>25.420585629524773</v>
      </c>
      <c r="AO32" s="73">
        <v>37.870797239094081</v>
      </c>
      <c r="AP32" s="4">
        <v>21.7</v>
      </c>
      <c r="AQ32" s="10">
        <v>35.700000000000003</v>
      </c>
      <c r="AR32" s="75">
        <f t="shared" si="16"/>
        <v>1540.2340234023404</v>
      </c>
      <c r="AS32" s="75">
        <f t="shared" si="17"/>
        <v>1881.5481548154812</v>
      </c>
      <c r="AT32" s="74">
        <f t="shared" si="18"/>
        <v>5102.4302430243024</v>
      </c>
      <c r="AU32" s="74">
        <f t="shared" si="19"/>
        <v>8059.7659765976614</v>
      </c>
      <c r="AV32" s="78">
        <v>285</v>
      </c>
      <c r="AW32" s="78">
        <v>594</v>
      </c>
      <c r="AX32" s="73">
        <v>23.9</v>
      </c>
      <c r="AY32" s="73">
        <v>35.9</v>
      </c>
      <c r="AZ32" s="4">
        <v>13.7</v>
      </c>
      <c r="BA32" s="10">
        <v>19.7</v>
      </c>
      <c r="BB32" s="75">
        <f t="shared" si="43"/>
        <v>832.80000000000007</v>
      </c>
      <c r="BC32" s="75">
        <f t="shared" si="43"/>
        <v>1111.2</v>
      </c>
      <c r="BD32" s="74">
        <f t="shared" si="43"/>
        <v>3573.6000000000004</v>
      </c>
      <c r="BE32" s="74">
        <f t="shared" si="43"/>
        <v>4814.4000000000005</v>
      </c>
      <c r="BF32" s="77">
        <f t="shared" si="24"/>
        <v>377.6</v>
      </c>
      <c r="BG32" s="77">
        <f t="shared" si="25"/>
        <v>596.80000000000007</v>
      </c>
      <c r="BH32" s="73">
        <f t="shared" si="26"/>
        <v>24.420585629524773</v>
      </c>
      <c r="BI32" s="73">
        <f t="shared" si="26"/>
        <v>36.870797239094081</v>
      </c>
      <c r="BJ32" s="88">
        <f t="shared" si="27"/>
        <v>19.53</v>
      </c>
      <c r="BK32" s="88">
        <f t="shared" si="27"/>
        <v>32.130000000000003</v>
      </c>
      <c r="BL32" s="75">
        <f t="shared" si="44"/>
        <v>749.59495949594964</v>
      </c>
      <c r="BM32" s="75">
        <f t="shared" si="45"/>
        <v>1000.1800180018002</v>
      </c>
      <c r="BN32" s="74">
        <f t="shared" si="46"/>
        <v>3216.561656165617</v>
      </c>
      <c r="BO32" s="74">
        <f t="shared" si="46"/>
        <v>4333.3933393339339</v>
      </c>
      <c r="BP32" s="77">
        <f t="shared" si="28"/>
        <v>286.9761033113972</v>
      </c>
      <c r="BQ32" s="77">
        <f t="shared" si="29"/>
        <v>446.03886397608375</v>
      </c>
      <c r="BR32" s="73">
        <f t="shared" si="30"/>
        <v>24.420585629524773</v>
      </c>
      <c r="BS32" s="73">
        <f t="shared" si="30"/>
        <v>36.870797239094081</v>
      </c>
      <c r="BT32" s="4">
        <f t="shared" si="36"/>
        <v>19.53</v>
      </c>
      <c r="BU32" s="9">
        <f t="shared" si="37"/>
        <v>32.130000000000003</v>
      </c>
      <c r="BV32" s="82">
        <f t="shared" si="31"/>
        <v>6.647887323943662</v>
      </c>
      <c r="BW32" s="82">
        <f t="shared" si="32"/>
        <v>6.6607142857142856</v>
      </c>
      <c r="BX32" s="82">
        <f t="shared" si="38"/>
        <v>5</v>
      </c>
      <c r="BY32" s="82">
        <f t="shared" si="39"/>
        <v>5</v>
      </c>
      <c r="BZ32" s="82">
        <f t="shared" si="40"/>
        <v>8.0485915492957751</v>
      </c>
      <c r="CA32" s="82">
        <f t="shared" si="40"/>
        <v>8.0723214285714278</v>
      </c>
      <c r="CB32" s="11">
        <f>IF('Clima Beam'!$J$6="9,6",cal!CC32,IF('Clima Beam'!$J$6="15,3",cal!CD32,cal!CE32))</f>
        <v>4.5129000000000001</v>
      </c>
      <c r="CC32" s="1">
        <f t="shared" si="33"/>
        <v>1.3976000000000002</v>
      </c>
      <c r="CD32" s="11">
        <f t="shared" si="34"/>
        <v>4.5129000000000001</v>
      </c>
      <c r="CE32" s="11">
        <f t="shared" si="35"/>
        <v>3.7134</v>
      </c>
      <c r="CF32" s="1"/>
    </row>
    <row r="33" spans="1:84" ht="15" customHeight="1" x14ac:dyDescent="0.25">
      <c r="B33" s="119" t="s">
        <v>129</v>
      </c>
      <c r="C33" s="119"/>
      <c r="D33" s="119"/>
      <c r="E33" s="119"/>
      <c r="F33" s="119"/>
      <c r="G33" s="119"/>
      <c r="H33" s="119"/>
      <c r="I33" s="119"/>
      <c r="J33" s="119"/>
      <c r="K33" s="119"/>
      <c r="M33" s="6">
        <v>290</v>
      </c>
      <c r="N33" s="75">
        <f t="shared" si="41"/>
        <v>1224.5999999999999</v>
      </c>
      <c r="O33" s="75">
        <f t="shared" si="41"/>
        <v>1531.4</v>
      </c>
      <c r="P33" s="74">
        <f t="shared" si="41"/>
        <v>5683.5999999999995</v>
      </c>
      <c r="Q33" s="74">
        <f t="shared" si="41"/>
        <v>8239.4</v>
      </c>
      <c r="R33" s="78">
        <v>519</v>
      </c>
      <c r="S33" s="78">
        <v>821</v>
      </c>
      <c r="T33" s="73">
        <v>25.834512481107026</v>
      </c>
      <c r="U33" s="73">
        <v>38.284724090676335</v>
      </c>
      <c r="V33" s="4">
        <v>23.7</v>
      </c>
      <c r="W33" s="10">
        <v>39.1</v>
      </c>
      <c r="X33" s="75">
        <f t="shared" si="42"/>
        <v>1853.8000000000002</v>
      </c>
      <c r="Y33" s="75">
        <f t="shared" si="42"/>
        <v>2264.6</v>
      </c>
      <c r="Z33" s="74">
        <f t="shared" si="42"/>
        <v>6141.2</v>
      </c>
      <c r="AA33" s="74">
        <f t="shared" si="42"/>
        <v>9700.6</v>
      </c>
      <c r="AB33" s="78">
        <v>400</v>
      </c>
      <c r="AC33" s="78">
        <v>848</v>
      </c>
      <c r="AD33" s="73">
        <v>25</v>
      </c>
      <c r="AE33" s="73">
        <v>37</v>
      </c>
      <c r="AF33" s="4">
        <v>14.5</v>
      </c>
      <c r="AG33" s="10">
        <v>20.9</v>
      </c>
      <c r="AH33" s="75">
        <f t="shared" si="12"/>
        <v>1102.2502250225023</v>
      </c>
      <c r="AI33" s="75">
        <f t="shared" si="13"/>
        <v>1378.3978397839785</v>
      </c>
      <c r="AJ33" s="74">
        <f t="shared" si="14"/>
        <v>5115.7515751575156</v>
      </c>
      <c r="AK33" s="74">
        <f t="shared" si="15"/>
        <v>7416.2016201620163</v>
      </c>
      <c r="AL33" s="78">
        <v>403</v>
      </c>
      <c r="AM33" s="78">
        <v>623</v>
      </c>
      <c r="AN33" s="73">
        <v>25.834512481107026</v>
      </c>
      <c r="AO33" s="73">
        <v>38.284724090676335</v>
      </c>
      <c r="AP33" s="4">
        <v>23.7</v>
      </c>
      <c r="AQ33" s="10">
        <v>39.1</v>
      </c>
      <c r="AR33" s="75">
        <f t="shared" si="16"/>
        <v>1668.5868586858687</v>
      </c>
      <c r="AS33" s="75">
        <f t="shared" si="17"/>
        <v>2038.3438343834382</v>
      </c>
      <c r="AT33" s="74">
        <f t="shared" si="18"/>
        <v>5527.6327632763278</v>
      </c>
      <c r="AU33" s="74">
        <f t="shared" si="19"/>
        <v>8731.4131413141313</v>
      </c>
      <c r="AV33" s="78">
        <v>304</v>
      </c>
      <c r="AW33" s="78">
        <v>634</v>
      </c>
      <c r="AX33" s="73">
        <v>24.1</v>
      </c>
      <c r="AY33" s="73">
        <v>36.200000000000003</v>
      </c>
      <c r="AZ33" s="4">
        <v>14.5</v>
      </c>
      <c r="BA33" s="10">
        <v>20.9</v>
      </c>
      <c r="BB33" s="75">
        <f t="shared" si="43"/>
        <v>902.2</v>
      </c>
      <c r="BC33" s="75">
        <f t="shared" si="43"/>
        <v>1203.8</v>
      </c>
      <c r="BD33" s="74">
        <f t="shared" si="43"/>
        <v>3871.4000000000005</v>
      </c>
      <c r="BE33" s="74">
        <f t="shared" si="43"/>
        <v>5215.6000000000004</v>
      </c>
      <c r="BF33" s="77">
        <f t="shared" si="24"/>
        <v>415.20000000000005</v>
      </c>
      <c r="BG33" s="77">
        <f t="shared" si="25"/>
        <v>656.80000000000007</v>
      </c>
      <c r="BH33" s="73">
        <f t="shared" si="26"/>
        <v>24.834512481107026</v>
      </c>
      <c r="BI33" s="73">
        <f t="shared" si="26"/>
        <v>37.284724090676335</v>
      </c>
      <c r="BJ33" s="88">
        <f t="shared" si="27"/>
        <v>21.33</v>
      </c>
      <c r="BK33" s="88">
        <f t="shared" si="27"/>
        <v>35.190000000000005</v>
      </c>
      <c r="BL33" s="75">
        <f t="shared" si="44"/>
        <v>812.06120612061216</v>
      </c>
      <c r="BM33" s="75">
        <f t="shared" si="45"/>
        <v>1083.5283528352836</v>
      </c>
      <c r="BN33" s="74">
        <f t="shared" si="46"/>
        <v>3484.6084608460851</v>
      </c>
      <c r="BO33" s="74">
        <f t="shared" si="46"/>
        <v>4694.5094509450946</v>
      </c>
      <c r="BP33" s="77">
        <f t="shared" si="28"/>
        <v>315.55211359876091</v>
      </c>
      <c r="BQ33" s="77">
        <f t="shared" si="29"/>
        <v>490.88191330343801</v>
      </c>
      <c r="BR33" s="73">
        <f t="shared" si="30"/>
        <v>24.834512481107026</v>
      </c>
      <c r="BS33" s="73">
        <f t="shared" si="30"/>
        <v>37.284724090676335</v>
      </c>
      <c r="BT33" s="4">
        <f t="shared" si="36"/>
        <v>21.33</v>
      </c>
      <c r="BU33" s="9">
        <f t="shared" si="37"/>
        <v>35.190000000000005</v>
      </c>
      <c r="BV33" s="82">
        <f t="shared" si="31"/>
        <v>7.3098591549295771</v>
      </c>
      <c r="BW33" s="82">
        <f t="shared" si="32"/>
        <v>7.3303571428571432</v>
      </c>
      <c r="BX33" s="82">
        <f t="shared" si="38"/>
        <v>5.333333333333333</v>
      </c>
      <c r="BY33" s="82">
        <f t="shared" si="39"/>
        <v>5.333333333333333</v>
      </c>
      <c r="BZ33" s="82">
        <f t="shared" si="40"/>
        <v>8.9899061032863852</v>
      </c>
      <c r="CA33" s="82">
        <f t="shared" si="40"/>
        <v>9.027827380952381</v>
      </c>
      <c r="CB33" s="11">
        <f>IF('Clima Beam'!$J$6="9,6",cal!CC33,IF('Clima Beam'!$J$6="15,3",cal!CD33,cal!CE33))</f>
        <v>4.4689000000000005</v>
      </c>
      <c r="CC33" s="1">
        <f t="shared" si="33"/>
        <v>1.3256000000000001</v>
      </c>
      <c r="CD33" s="11">
        <f t="shared" si="34"/>
        <v>4.4689000000000005</v>
      </c>
      <c r="CE33" s="11">
        <f t="shared" si="35"/>
        <v>3.6594000000000002</v>
      </c>
    </row>
    <row r="34" spans="1:84" ht="10.7" customHeight="1" x14ac:dyDescent="0.25">
      <c r="B34" s="70"/>
      <c r="C34" s="70"/>
      <c r="D34" s="70"/>
      <c r="E34" s="70"/>
      <c r="F34" s="70"/>
      <c r="G34" s="70"/>
      <c r="J34" s="12"/>
      <c r="CF34" s="1"/>
    </row>
    <row r="35" spans="1:84" ht="24.95" customHeight="1" x14ac:dyDescent="0.25">
      <c r="B35" s="70"/>
      <c r="C35" s="70"/>
      <c r="D35" s="70"/>
      <c r="E35" s="70"/>
      <c r="F35" s="70"/>
      <c r="G35" s="70"/>
      <c r="J35" s="12"/>
    </row>
    <row r="36" spans="1:84" x14ac:dyDescent="0.25">
      <c r="B36" s="70"/>
      <c r="C36" s="70"/>
      <c r="D36" s="70"/>
      <c r="E36" s="70"/>
      <c r="F36" s="70"/>
      <c r="G36" s="70"/>
    </row>
    <row r="37" spans="1:84" x14ac:dyDescent="0.25">
      <c r="B37" s="70"/>
      <c r="C37" s="70"/>
      <c r="D37" s="70"/>
      <c r="E37" s="70"/>
      <c r="F37" s="70"/>
      <c r="G37" s="70"/>
    </row>
    <row r="40" spans="1:84" x14ac:dyDescent="0.25">
      <c r="A40" s="1"/>
      <c r="B40" s="37"/>
      <c r="C40" s="37"/>
      <c r="D40" s="37"/>
      <c r="E40" s="37"/>
      <c r="F40" s="37"/>
      <c r="G40" s="37"/>
      <c r="H40" s="37"/>
      <c r="I40" s="37"/>
    </row>
    <row r="41" spans="1:84" x14ac:dyDescent="0.25">
      <c r="A41" s="1"/>
      <c r="B41" s="37"/>
      <c r="C41" s="37"/>
      <c r="D41" s="37"/>
      <c r="E41" s="37"/>
      <c r="F41" s="37"/>
      <c r="G41" s="37"/>
      <c r="H41" s="37"/>
      <c r="I41" s="37"/>
    </row>
    <row r="44" spans="1:84" x14ac:dyDescent="0.25">
      <c r="J44" s="37"/>
    </row>
    <row r="45" spans="1:84" x14ac:dyDescent="0.25">
      <c r="J45" s="37"/>
    </row>
  </sheetData>
  <mergeCells count="30">
    <mergeCell ref="AR20:BA20"/>
    <mergeCell ref="AH20:AQ20"/>
    <mergeCell ref="X20:AG20"/>
    <mergeCell ref="CC20:CE20"/>
    <mergeCell ref="B17:K17"/>
    <mergeCell ref="AN19:AO19"/>
    <mergeCell ref="AX19:AY19"/>
    <mergeCell ref="BB20:BK20"/>
    <mergeCell ref="BL20:BU20"/>
    <mergeCell ref="BH19:BI19"/>
    <mergeCell ref="B2:I2"/>
    <mergeCell ref="J10:K10"/>
    <mergeCell ref="J11:K14"/>
    <mergeCell ref="D7:G7"/>
    <mergeCell ref="D6:G6"/>
    <mergeCell ref="D5:G5"/>
    <mergeCell ref="D4:G4"/>
    <mergeCell ref="H7:I7"/>
    <mergeCell ref="H6:I6"/>
    <mergeCell ref="H5:I5"/>
    <mergeCell ref="H4:I4"/>
    <mergeCell ref="B5:C5"/>
    <mergeCell ref="B32:K32"/>
    <mergeCell ref="B33:K33"/>
    <mergeCell ref="T18:U18"/>
    <mergeCell ref="AD19:AE19"/>
    <mergeCell ref="B31:K31"/>
    <mergeCell ref="B30:K30"/>
    <mergeCell ref="T19:U19"/>
    <mergeCell ref="N20:W20"/>
  </mergeCells>
  <dataValidations disablePrompts="1" count="2">
    <dataValidation type="whole" errorStyle="information" allowBlank="1" showErrorMessage="1" error="Eingabe außerhalb des gültigen Bereichs." prompt="Eingabe zwischen 16°C bis 30°C" sqref="H11:H13 S11:S13" xr:uid="{00000000-0002-0000-0100-000000000000}">
      <formula1>16</formula1>
      <formula2>30</formula2>
    </dataValidation>
    <dataValidation type="whole" errorStyle="information" allowBlank="1" showErrorMessage="1" error="Eingabe außerhalb des gültigen Bereichs." prompt="20°C bis 35°C" sqref="D11:D13 Q11:Q13" xr:uid="{00000000-0002-0000-0100-000001000000}">
      <formula1>20</formula1>
      <formula2>35</formula2>
    </dataValidation>
  </dataValidations>
  <pageMargins left="0.7" right="0.7" top="0.75" bottom="0.75" header="0.3" footer="0.3"/>
  <pageSetup paperSize="9"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2"/>
  <dimension ref="A1:M40"/>
  <sheetViews>
    <sheetView workbookViewId="0">
      <selection activeCell="J6" sqref="J6:K6"/>
    </sheetView>
  </sheetViews>
  <sheetFormatPr defaultRowHeight="15" x14ac:dyDescent="0.25"/>
  <cols>
    <col min="1" max="1" width="2.28515625" style="12" customWidth="1"/>
    <col min="2" max="8" width="9.7109375" style="12" customWidth="1"/>
    <col min="9" max="9" width="6.7109375" style="12" customWidth="1"/>
    <col min="10" max="10" width="10.7109375" style="12" customWidth="1"/>
    <col min="11" max="11" width="5.7109375" style="12" customWidth="1"/>
    <col min="12" max="12" width="2.28515625" style="12" customWidth="1"/>
    <col min="13" max="16384" width="9.140625" style="11"/>
  </cols>
  <sheetData>
    <row r="1" spans="1:13" x14ac:dyDescent="0.25">
      <c r="D1" s="38"/>
      <c r="E1" s="38"/>
      <c r="F1" s="38"/>
      <c r="G1" s="38"/>
    </row>
    <row r="2" spans="1:13" ht="15" customHeight="1" x14ac:dyDescent="0.25">
      <c r="B2" s="113"/>
      <c r="C2" s="114"/>
      <c r="D2" s="114"/>
      <c r="E2" s="114"/>
      <c r="F2" s="114"/>
      <c r="G2" s="114"/>
      <c r="H2" s="114"/>
      <c r="I2" s="115"/>
    </row>
    <row r="4" spans="1:13" s="1" customFormat="1" x14ac:dyDescent="0.25">
      <c r="A4" s="12"/>
      <c r="B4" s="13"/>
      <c r="C4" s="12"/>
      <c r="F4" s="100" t="s">
        <v>56</v>
      </c>
      <c r="G4" s="101"/>
      <c r="H4" s="101"/>
      <c r="I4" s="102"/>
      <c r="J4" s="103"/>
      <c r="K4" s="104"/>
      <c r="L4" s="12"/>
    </row>
    <row r="5" spans="1:13" s="1" customFormat="1" x14ac:dyDescent="0.25">
      <c r="A5" s="12"/>
      <c r="B5" s="94"/>
      <c r="C5" s="94"/>
      <c r="F5" s="100" t="s">
        <v>27</v>
      </c>
      <c r="G5" s="101"/>
      <c r="H5" s="101"/>
      <c r="I5" s="102"/>
      <c r="J5" s="130"/>
      <c r="K5" s="131"/>
      <c r="L5" s="12"/>
      <c r="M5" s="1" t="s">
        <v>24</v>
      </c>
    </row>
    <row r="6" spans="1:13" s="1" customFormat="1" x14ac:dyDescent="0.25">
      <c r="A6" s="12"/>
      <c r="B6" s="13"/>
      <c r="C6" s="12"/>
      <c r="F6" s="100" t="s">
        <v>57</v>
      </c>
      <c r="G6" s="101"/>
      <c r="H6" s="101"/>
      <c r="I6" s="102"/>
      <c r="J6" s="130"/>
      <c r="K6" s="131"/>
      <c r="L6" s="12"/>
      <c r="M6" s="1" t="s">
        <v>25</v>
      </c>
    </row>
    <row r="7" spans="1:13" s="1" customFormat="1" x14ac:dyDescent="0.25">
      <c r="A7" s="12"/>
      <c r="B7" s="14"/>
      <c r="C7" s="12"/>
      <c r="F7" s="100" t="s">
        <v>71</v>
      </c>
      <c r="G7" s="101"/>
      <c r="H7" s="101"/>
      <c r="I7" s="102"/>
      <c r="J7" s="128"/>
      <c r="K7" s="129"/>
      <c r="L7" s="12"/>
    </row>
    <row r="8" spans="1:13" s="1" customFormat="1" ht="6" customHeight="1" x14ac:dyDescent="0.25">
      <c r="A8" s="12"/>
      <c r="B8" s="15"/>
      <c r="C8" s="16"/>
      <c r="D8" s="16"/>
      <c r="E8" s="16"/>
      <c r="F8" s="16"/>
      <c r="G8" s="16"/>
      <c r="H8" s="18"/>
      <c r="I8" s="18"/>
      <c r="J8" s="16"/>
      <c r="K8" s="39"/>
      <c r="L8" s="12"/>
    </row>
    <row r="9" spans="1:13" s="1" customFormat="1" x14ac:dyDescent="0.25">
      <c r="A9" s="12"/>
      <c r="B9" s="17" t="s">
        <v>0</v>
      </c>
      <c r="C9" s="18"/>
      <c r="D9" s="18"/>
      <c r="E9" s="18"/>
      <c r="F9" s="18"/>
      <c r="G9" s="18"/>
      <c r="H9" s="18"/>
      <c r="I9" s="18"/>
      <c r="J9" s="18"/>
      <c r="K9" s="40"/>
      <c r="L9" s="12"/>
      <c r="M9" s="11" t="s">
        <v>177</v>
      </c>
    </row>
    <row r="10" spans="1:13" s="1" customFormat="1" ht="15.75" thickBot="1" x14ac:dyDescent="0.3">
      <c r="A10" s="12"/>
      <c r="B10" s="17" t="s">
        <v>29</v>
      </c>
      <c r="C10" s="19"/>
      <c r="D10" s="18"/>
      <c r="E10" s="18"/>
      <c r="F10" s="19" t="s">
        <v>28</v>
      </c>
      <c r="G10" s="18"/>
      <c r="H10" s="18"/>
      <c r="I10" s="19"/>
      <c r="J10" s="143" t="s">
        <v>65</v>
      </c>
      <c r="K10" s="144"/>
      <c r="L10" s="12"/>
      <c r="M10" s="11" t="s">
        <v>178</v>
      </c>
    </row>
    <row r="11" spans="1:13" s="1" customFormat="1" ht="15.75" thickTop="1" x14ac:dyDescent="0.25">
      <c r="A11" s="12"/>
      <c r="B11" s="41" t="s">
        <v>54</v>
      </c>
      <c r="C11" s="18"/>
      <c r="D11" s="2"/>
      <c r="E11" s="18" t="str">
        <f>IF(UnitsNo=1,"°C",IF(UnitsNo=2,"°F",))</f>
        <v>°C</v>
      </c>
      <c r="F11" s="18" t="str">
        <f>B11</f>
        <v>Water aanvoer</v>
      </c>
      <c r="G11" s="18"/>
      <c r="H11" s="2"/>
      <c r="I11" s="42" t="str">
        <f>E11</f>
        <v>°C</v>
      </c>
      <c r="J11" s="122"/>
      <c r="K11" s="123"/>
      <c r="L11" s="12"/>
      <c r="M11" s="11" t="s">
        <v>179</v>
      </c>
    </row>
    <row r="12" spans="1:13" s="1" customFormat="1" x14ac:dyDescent="0.25">
      <c r="A12" s="12"/>
      <c r="B12" s="41" t="s">
        <v>55</v>
      </c>
      <c r="C12" s="18"/>
      <c r="D12" s="2"/>
      <c r="E12" s="18" t="str">
        <f>E11</f>
        <v>°C</v>
      </c>
      <c r="F12" s="18" t="str">
        <f>B12</f>
        <v>Water retour</v>
      </c>
      <c r="G12" s="18"/>
      <c r="H12" s="2"/>
      <c r="I12" s="18" t="str">
        <f>E11</f>
        <v>°C</v>
      </c>
      <c r="J12" s="124"/>
      <c r="K12" s="125"/>
      <c r="L12" s="12"/>
    </row>
    <row r="13" spans="1:13" s="1" customFormat="1" x14ac:dyDescent="0.25">
      <c r="A13" s="12"/>
      <c r="B13" s="41" t="s">
        <v>53</v>
      </c>
      <c r="C13" s="18"/>
      <c r="D13" s="2"/>
      <c r="E13" s="18" t="str">
        <f>E11</f>
        <v>°C</v>
      </c>
      <c r="F13" s="18" t="str">
        <f>B13</f>
        <v>Ruimte</v>
      </c>
      <c r="G13" s="18"/>
      <c r="H13" s="2"/>
      <c r="I13" s="18" t="str">
        <f>E11</f>
        <v>°C</v>
      </c>
      <c r="J13" s="124"/>
      <c r="K13" s="125"/>
      <c r="L13" s="12"/>
    </row>
    <row r="14" spans="1:13" s="1" customFormat="1" ht="14.1" customHeight="1" x14ac:dyDescent="0.25">
      <c r="A14" s="12"/>
      <c r="B14" s="20"/>
      <c r="C14" s="21"/>
      <c r="D14" s="22"/>
      <c r="E14" s="22"/>
      <c r="F14" s="22"/>
      <c r="G14" s="22"/>
      <c r="H14" s="22"/>
      <c r="I14" s="22"/>
      <c r="J14" s="126"/>
      <c r="K14" s="127"/>
      <c r="L14" s="12"/>
    </row>
    <row r="15" spans="1:13" s="1" customFormat="1" ht="6" customHeight="1" x14ac:dyDescent="0.25">
      <c r="A15" s="12"/>
      <c r="B15" s="12"/>
      <c r="C15" s="12"/>
      <c r="D15" s="12"/>
      <c r="E15" s="12"/>
      <c r="F15" s="44"/>
      <c r="G15" s="44"/>
      <c r="H15" s="45"/>
      <c r="I15" s="45"/>
      <c r="J15" s="12"/>
      <c r="K15" s="12"/>
      <c r="L15" s="12"/>
    </row>
    <row r="16" spans="1:13" s="1" customFormat="1" ht="114.95" customHeight="1" x14ac:dyDescent="0.25">
      <c r="A16" s="23"/>
      <c r="B16" s="55" t="str">
        <f>CONCATENATE("Lengte ",IF(UnitsNo=1,"[cm]",IF(UnitsNo=2,"[inch]",)))</f>
        <v>Lengte [cm]</v>
      </c>
      <c r="C16" s="56" t="str">
        <f>CONCATENATE("Verwarmvermogen in",IF(UnitsNo=1," [W]",IF(UnitsNo=2," [Btu/h]",)))</f>
        <v>Verwarmvermogen in [W]</v>
      </c>
      <c r="D16" s="57" t="str">
        <f>CONCATENATE("Waterdebiet, verwarming in",IF(UnitsNo=1," [l/h]",IF(UnitsNo=2," [GPM]",)))</f>
        <v>Waterdebiet, verwarming in [l/h]</v>
      </c>
      <c r="E16" s="54" t="str">
        <f>"Waterzijdig drukverlies ["&amp;IF(UnitsNo=1,"kPa","ftH2O")&amp;"]"</f>
        <v>Waterzijdig drukverlies [kPa]</v>
      </c>
      <c r="F16" s="58" t="str">
        <f>CONCATENATE("Koelvermogen in",IF(UnitsNo=1," [W]",IF(UnitsNo=2," [Btu/h]",)))</f>
        <v>Koelvermogen in [W]</v>
      </c>
      <c r="G16" s="57" t="str">
        <f>CONCATENATE("Waterdebiet, koeling in",IF(UnitsNo=1," [l/h]",IF(UnitsNo=2," [GPM]",)))</f>
        <v>Waterdebiet, koeling in [l/h]</v>
      </c>
      <c r="H16" s="54" t="str">
        <f>E16</f>
        <v>Waterzijdig drukverlies [kPa]</v>
      </c>
      <c r="I16" s="48" t="str">
        <f>"Luchtdebiet"&amp;IF(UnitsNo=1," [m³/h]",IF(UnitsNo=2," [CFM]",))</f>
        <v>Luchtdebiet [m³/h]</v>
      </c>
      <c r="J16" s="49" t="s">
        <v>30</v>
      </c>
      <c r="K16" s="50" t="s">
        <v>23</v>
      </c>
      <c r="L16" s="12"/>
    </row>
    <row r="17" spans="1:12" s="35" customFormat="1" ht="15" customHeight="1" x14ac:dyDescent="0.25">
      <c r="A17" s="12"/>
      <c r="B17" s="95" t="str">
        <f>CONCATENATE("Clima Beam - "," H",cal!H6," B",cal!M15," Type ",cal!L16)</f>
        <v>Clima Beam -  H15,3 B36 Type 20</v>
      </c>
      <c r="C17" s="96"/>
      <c r="D17" s="96"/>
      <c r="E17" s="96"/>
      <c r="F17" s="96"/>
      <c r="G17" s="96"/>
      <c r="H17" s="96"/>
      <c r="I17" s="97"/>
      <c r="J17" s="97"/>
      <c r="K17" s="98"/>
      <c r="L17" s="12"/>
    </row>
    <row r="18" spans="1:12" s="35" customFormat="1" ht="15" customHeight="1" x14ac:dyDescent="0.25">
      <c r="A18" s="12"/>
      <c r="B18" s="59"/>
      <c r="C18" s="24"/>
      <c r="D18" s="60"/>
      <c r="E18" s="61"/>
      <c r="F18" s="24"/>
      <c r="G18" s="60"/>
      <c r="H18" s="61"/>
      <c r="I18" s="24"/>
      <c r="J18" s="26"/>
      <c r="K18" s="25"/>
      <c r="L18" s="12"/>
    </row>
    <row r="19" spans="1:12" s="1" customFormat="1" ht="15" customHeight="1" x14ac:dyDescent="0.25">
      <c r="A19" s="12"/>
      <c r="B19" s="62"/>
      <c r="C19" s="27"/>
      <c r="D19" s="51"/>
      <c r="E19" s="53"/>
      <c r="F19" s="27"/>
      <c r="G19" s="51"/>
      <c r="H19" s="53"/>
      <c r="I19" s="27"/>
      <c r="J19" s="29"/>
      <c r="K19" s="28"/>
      <c r="L19" s="12"/>
    </row>
    <row r="20" spans="1:12" s="1" customFormat="1" ht="15" customHeight="1" x14ac:dyDescent="0.25">
      <c r="A20" s="12"/>
      <c r="B20" s="62"/>
      <c r="C20" s="27"/>
      <c r="D20" s="51"/>
      <c r="E20" s="53"/>
      <c r="F20" s="27"/>
      <c r="G20" s="51"/>
      <c r="H20" s="53"/>
      <c r="I20" s="27"/>
      <c r="J20" s="29"/>
      <c r="K20" s="28"/>
      <c r="L20" s="12"/>
    </row>
    <row r="21" spans="1:12" s="1" customFormat="1" ht="15" customHeight="1" x14ac:dyDescent="0.25">
      <c r="A21" s="12"/>
      <c r="B21" s="62"/>
      <c r="C21" s="27"/>
      <c r="D21" s="51"/>
      <c r="E21" s="53"/>
      <c r="F21" s="27"/>
      <c r="G21" s="51"/>
      <c r="H21" s="53"/>
      <c r="I21" s="27"/>
      <c r="J21" s="29"/>
      <c r="K21" s="28"/>
      <c r="L21" s="12"/>
    </row>
    <row r="22" spans="1:12" s="1" customFormat="1" ht="15" customHeight="1" x14ac:dyDescent="0.25">
      <c r="A22" s="12"/>
      <c r="B22" s="62"/>
      <c r="C22" s="27"/>
      <c r="D22" s="51"/>
      <c r="E22" s="53"/>
      <c r="F22" s="27"/>
      <c r="G22" s="51"/>
      <c r="H22" s="53"/>
      <c r="I22" s="27"/>
      <c r="J22" s="29"/>
      <c r="K22" s="28"/>
      <c r="L22" s="12"/>
    </row>
    <row r="23" spans="1:12" s="1" customFormat="1" ht="15" customHeight="1" x14ac:dyDescent="0.25">
      <c r="A23" s="12"/>
      <c r="B23" s="62"/>
      <c r="C23" s="27"/>
      <c r="D23" s="51"/>
      <c r="E23" s="53"/>
      <c r="F23" s="27"/>
      <c r="G23" s="51"/>
      <c r="H23" s="53"/>
      <c r="I23" s="27"/>
      <c r="J23" s="29"/>
      <c r="K23" s="28"/>
      <c r="L23" s="12"/>
    </row>
    <row r="24" spans="1:12" s="1" customFormat="1" ht="15" customHeight="1" x14ac:dyDescent="0.25">
      <c r="A24" s="12"/>
      <c r="B24" s="62"/>
      <c r="C24" s="27"/>
      <c r="D24" s="51"/>
      <c r="E24" s="53"/>
      <c r="F24" s="27"/>
      <c r="G24" s="51"/>
      <c r="H24" s="53"/>
      <c r="I24" s="27"/>
      <c r="J24" s="29"/>
      <c r="K24" s="28"/>
      <c r="L24" s="12"/>
    </row>
    <row r="25" spans="1:12" s="1" customFormat="1" ht="15" customHeight="1" x14ac:dyDescent="0.25">
      <c r="A25" s="12"/>
      <c r="B25" s="62"/>
      <c r="C25" s="27"/>
      <c r="D25" s="51"/>
      <c r="E25" s="53"/>
      <c r="F25" s="27"/>
      <c r="G25" s="51"/>
      <c r="H25" s="53"/>
      <c r="I25" s="27"/>
      <c r="J25" s="29"/>
      <c r="K25" s="28"/>
      <c r="L25" s="12"/>
    </row>
    <row r="26" spans="1:12" s="1" customFormat="1" ht="15" customHeight="1" x14ac:dyDescent="0.25">
      <c r="A26" s="12"/>
      <c r="B26" s="62"/>
      <c r="C26" s="27"/>
      <c r="D26" s="51"/>
      <c r="E26" s="53"/>
      <c r="F26" s="27"/>
      <c r="G26" s="51"/>
      <c r="H26" s="53"/>
      <c r="I26" s="27"/>
      <c r="J26" s="29"/>
      <c r="K26" s="28"/>
      <c r="L26" s="12"/>
    </row>
    <row r="27" spans="1:12" s="1" customFormat="1" ht="15" customHeight="1" x14ac:dyDescent="0.25">
      <c r="A27" s="12"/>
      <c r="B27" s="62"/>
      <c r="C27" s="27"/>
      <c r="D27" s="51"/>
      <c r="E27" s="53"/>
      <c r="F27" s="27"/>
      <c r="G27" s="51"/>
      <c r="H27" s="53"/>
      <c r="I27" s="27"/>
      <c r="J27" s="29"/>
      <c r="K27" s="28"/>
      <c r="L27" s="12"/>
    </row>
    <row r="28" spans="1:12" s="1" customFormat="1" ht="15" customHeight="1" x14ac:dyDescent="0.25">
      <c r="A28" s="12"/>
      <c r="B28" s="62"/>
      <c r="C28" s="27"/>
      <c r="D28" s="51"/>
      <c r="E28" s="53"/>
      <c r="F28" s="27"/>
      <c r="G28" s="51"/>
      <c r="H28" s="53"/>
      <c r="I28" s="27"/>
      <c r="J28" s="29"/>
      <c r="K28" s="28"/>
      <c r="L28" s="12"/>
    </row>
    <row r="29" spans="1:12" s="1" customFormat="1" ht="15" customHeight="1" x14ac:dyDescent="0.25">
      <c r="A29" s="12"/>
      <c r="B29" s="63"/>
      <c r="C29" s="30"/>
      <c r="D29" s="52"/>
      <c r="E29" s="64"/>
      <c r="F29" s="30"/>
      <c r="G29" s="52"/>
      <c r="H29" s="64"/>
      <c r="I29" s="30"/>
      <c r="J29" s="32"/>
      <c r="K29" s="31"/>
      <c r="L29" s="12"/>
    </row>
    <row r="30" spans="1:12" s="1" customFormat="1" ht="15" customHeight="1" x14ac:dyDescent="0.25">
      <c r="A30" s="12"/>
      <c r="B30" s="93"/>
      <c r="C30" s="93"/>
      <c r="D30" s="93"/>
      <c r="E30" s="93"/>
      <c r="F30" s="93"/>
      <c r="G30" s="93"/>
      <c r="H30" s="33"/>
      <c r="I30" s="43"/>
      <c r="J30" s="36"/>
      <c r="K30" s="36"/>
      <c r="L30" s="12"/>
    </row>
    <row r="31" spans="1:12" s="1" customFormat="1" ht="16.5" customHeight="1" x14ac:dyDescent="0.25">
      <c r="A31" s="12"/>
      <c r="B31" s="93" t="s">
        <v>31</v>
      </c>
      <c r="C31" s="93"/>
      <c r="D31" s="93"/>
      <c r="E31" s="93"/>
      <c r="F31" s="93"/>
      <c r="G31" s="93"/>
      <c r="H31" s="93"/>
      <c r="I31" s="93"/>
      <c r="J31" s="93"/>
      <c r="K31" s="93"/>
      <c r="L31" s="12"/>
    </row>
    <row r="32" spans="1:12" ht="60.75" customHeight="1" x14ac:dyDescent="0.25">
      <c r="B32" s="93" t="s">
        <v>49</v>
      </c>
      <c r="C32" s="93"/>
      <c r="D32" s="93"/>
      <c r="E32" s="93"/>
      <c r="F32" s="93"/>
      <c r="G32" s="93"/>
      <c r="H32" s="93"/>
      <c r="I32" s="93"/>
      <c r="J32" s="93"/>
      <c r="K32" s="93"/>
    </row>
    <row r="33" spans="1:12" ht="33" customHeight="1" x14ac:dyDescent="0.25">
      <c r="B33" s="92" t="s">
        <v>50</v>
      </c>
      <c r="C33" s="92"/>
      <c r="D33" s="92"/>
      <c r="E33" s="92"/>
      <c r="F33" s="92"/>
      <c r="G33" s="92"/>
      <c r="H33" s="92"/>
      <c r="I33" s="92"/>
      <c r="J33" s="92"/>
      <c r="K33" s="92"/>
    </row>
    <row r="34" spans="1:12" x14ac:dyDescent="0.25">
      <c r="B34" s="47"/>
      <c r="C34" s="47"/>
      <c r="D34" s="47"/>
      <c r="E34" s="47"/>
      <c r="F34" s="47"/>
      <c r="G34" s="47"/>
    </row>
    <row r="35" spans="1:12" x14ac:dyDescent="0.25">
      <c r="B35" s="47"/>
      <c r="C35" s="47"/>
      <c r="D35" s="47"/>
      <c r="E35" s="47"/>
      <c r="F35" s="47"/>
      <c r="G35" s="47"/>
    </row>
    <row r="36" spans="1:12" x14ac:dyDescent="0.25">
      <c r="B36" s="47"/>
      <c r="C36" s="47"/>
      <c r="D36" s="47"/>
      <c r="E36" s="47"/>
      <c r="F36" s="47"/>
      <c r="G36" s="47"/>
    </row>
    <row r="39" spans="1:12" x14ac:dyDescent="0.25">
      <c r="A39" s="69"/>
      <c r="B39" s="69"/>
      <c r="C39" s="69"/>
      <c r="D39" s="69"/>
      <c r="E39" s="69"/>
      <c r="F39" s="69"/>
      <c r="G39" s="69"/>
      <c r="H39" s="69"/>
      <c r="I39" s="69"/>
      <c r="J39" s="69"/>
      <c r="K39" s="69"/>
      <c r="L39" s="69"/>
    </row>
    <row r="40" spans="1:12" ht="15" customHeight="1" x14ac:dyDescent="0.25">
      <c r="B40" s="69"/>
      <c r="C40" s="69"/>
      <c r="D40" s="69"/>
      <c r="E40" s="69"/>
      <c r="F40" s="69"/>
      <c r="G40" s="69"/>
      <c r="H40" s="69"/>
      <c r="I40" s="69"/>
      <c r="J40" s="69"/>
      <c r="K40" s="69"/>
      <c r="L40" s="69"/>
    </row>
  </sheetData>
  <mergeCells count="17">
    <mergeCell ref="B31:K31"/>
    <mergeCell ref="B33:K33"/>
    <mergeCell ref="B32:K32"/>
    <mergeCell ref="J10:K10"/>
    <mergeCell ref="J11:K14"/>
    <mergeCell ref="B30:G30"/>
    <mergeCell ref="B17:K17"/>
    <mergeCell ref="F6:I6"/>
    <mergeCell ref="J6:K6"/>
    <mergeCell ref="F7:I7"/>
    <mergeCell ref="J7:K7"/>
    <mergeCell ref="B2:I2"/>
    <mergeCell ref="F4:I4"/>
    <mergeCell ref="J4:K4"/>
    <mergeCell ref="B5:C5"/>
    <mergeCell ref="F5:I5"/>
    <mergeCell ref="J5:K5"/>
  </mergeCells>
  <dataValidations count="2">
    <dataValidation type="whole" errorStyle="information" allowBlank="1" showErrorMessage="1" error="Eingabe außerhalb des gültigen Bereichs." prompt="Eingabe zwischen 16°C bis 30°C" sqref="J11:J13" xr:uid="{00000000-0002-0000-0200-000000000000}">
      <formula1>16</formula1>
      <formula2>30</formula2>
    </dataValidation>
    <dataValidation type="whole" errorStyle="information" allowBlank="1" showErrorMessage="1" error="Eingabe außerhalb des gültigen Bereichs." prompt="20°C bis 35°C" sqref="F11:F13" xr:uid="{00000000-0002-0000-0200-000001000000}">
      <formula1>20</formula1>
      <formula2>35</formula2>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Blad6"/>
  <dimension ref="A1:M40"/>
  <sheetViews>
    <sheetView workbookViewId="0">
      <selection activeCell="J6" sqref="J6:K6"/>
    </sheetView>
  </sheetViews>
  <sheetFormatPr defaultRowHeight="15" x14ac:dyDescent="0.25"/>
  <cols>
    <col min="1" max="1" width="2.28515625" style="12" customWidth="1"/>
    <col min="2" max="8" width="9.7109375" style="12" customWidth="1"/>
    <col min="9" max="9" width="6.7109375" style="12" customWidth="1"/>
    <col min="10" max="10" width="10.7109375" style="12" customWidth="1"/>
    <col min="11" max="11" width="5.7109375" style="12" customWidth="1"/>
    <col min="12" max="12" width="2.28515625" style="12" customWidth="1"/>
    <col min="13" max="16384" width="9.140625" style="11"/>
  </cols>
  <sheetData>
    <row r="1" spans="1:13" x14ac:dyDescent="0.25">
      <c r="D1" s="38"/>
      <c r="E1" s="38"/>
      <c r="F1" s="38"/>
      <c r="G1" s="38"/>
    </row>
    <row r="2" spans="1:13" ht="15" customHeight="1" x14ac:dyDescent="0.25">
      <c r="B2" s="113"/>
      <c r="C2" s="114"/>
      <c r="D2" s="114"/>
      <c r="E2" s="114"/>
      <c r="F2" s="114"/>
      <c r="G2" s="114"/>
      <c r="H2" s="114"/>
      <c r="I2" s="115"/>
    </row>
    <row r="4" spans="1:13" s="1" customFormat="1" x14ac:dyDescent="0.25">
      <c r="A4" s="12"/>
      <c r="B4" s="13"/>
      <c r="C4" s="12"/>
      <c r="F4" s="100" t="s">
        <v>56</v>
      </c>
      <c r="G4" s="101"/>
      <c r="H4" s="101"/>
      <c r="I4" s="102"/>
      <c r="J4" s="103"/>
      <c r="K4" s="104"/>
      <c r="L4" s="12"/>
    </row>
    <row r="5" spans="1:13" s="1" customFormat="1" x14ac:dyDescent="0.25">
      <c r="A5" s="12"/>
      <c r="B5" s="94"/>
      <c r="C5" s="94"/>
      <c r="F5" s="100" t="s">
        <v>75</v>
      </c>
      <c r="G5" s="101"/>
      <c r="H5" s="101"/>
      <c r="I5" s="102"/>
      <c r="J5" s="130"/>
      <c r="K5" s="131"/>
      <c r="L5" s="12"/>
      <c r="M5" s="1" t="s">
        <v>36</v>
      </c>
    </row>
    <row r="6" spans="1:13" s="1" customFormat="1" x14ac:dyDescent="0.25">
      <c r="A6" s="12"/>
      <c r="B6" s="13"/>
      <c r="C6" s="12"/>
      <c r="F6" s="100" t="s">
        <v>76</v>
      </c>
      <c r="G6" s="101"/>
      <c r="H6" s="101"/>
      <c r="I6" s="102"/>
      <c r="J6" s="130"/>
      <c r="K6" s="131"/>
      <c r="L6" s="12"/>
      <c r="M6" s="1" t="s">
        <v>26</v>
      </c>
    </row>
    <row r="7" spans="1:13" s="1" customFormat="1" x14ac:dyDescent="0.25">
      <c r="A7" s="12"/>
      <c r="B7" s="14"/>
      <c r="C7" s="12"/>
      <c r="F7" s="100" t="s">
        <v>77</v>
      </c>
      <c r="G7" s="101"/>
      <c r="H7" s="101"/>
      <c r="I7" s="102"/>
      <c r="J7" s="128"/>
      <c r="K7" s="129"/>
      <c r="L7" s="12"/>
    </row>
    <row r="8" spans="1:13" s="1" customFormat="1" ht="6" customHeight="1" x14ac:dyDescent="0.25">
      <c r="A8" s="12"/>
      <c r="B8" s="15"/>
      <c r="C8" s="16"/>
      <c r="D8" s="16"/>
      <c r="E8" s="16"/>
      <c r="F8" s="16"/>
      <c r="G8" s="16"/>
      <c r="H8" s="18"/>
      <c r="I8" s="18"/>
      <c r="J8" s="16"/>
      <c r="K8" s="39"/>
      <c r="L8" s="12"/>
    </row>
    <row r="9" spans="1:13" s="1" customFormat="1" x14ac:dyDescent="0.25">
      <c r="A9" s="12"/>
      <c r="B9" s="17" t="s">
        <v>32</v>
      </c>
      <c r="C9" s="18"/>
      <c r="D9" s="18"/>
      <c r="E9" s="18"/>
      <c r="F9" s="18"/>
      <c r="G9" s="18"/>
      <c r="H9" s="18"/>
      <c r="I9" s="18"/>
      <c r="J9" s="18"/>
      <c r="K9" s="40"/>
      <c r="L9" s="12"/>
      <c r="M9" s="11" t="s">
        <v>174</v>
      </c>
    </row>
    <row r="10" spans="1:13" s="1" customFormat="1" ht="15.75" thickBot="1" x14ac:dyDescent="0.3">
      <c r="A10" s="12"/>
      <c r="B10" s="17" t="s">
        <v>34</v>
      </c>
      <c r="C10" s="19"/>
      <c r="D10" s="18"/>
      <c r="E10" s="18"/>
      <c r="F10" s="19" t="s">
        <v>33</v>
      </c>
      <c r="G10" s="18"/>
      <c r="H10" s="18"/>
      <c r="I10" s="19"/>
      <c r="J10" s="143" t="s">
        <v>78</v>
      </c>
      <c r="K10" s="144"/>
      <c r="L10" s="12"/>
      <c r="M10" s="11" t="s">
        <v>175</v>
      </c>
    </row>
    <row r="11" spans="1:13" s="1" customFormat="1" ht="15.75" thickTop="1" x14ac:dyDescent="0.25">
      <c r="A11" s="12"/>
      <c r="B11" s="41" t="s">
        <v>72</v>
      </c>
      <c r="C11" s="18"/>
      <c r="D11" s="2"/>
      <c r="E11" s="18" t="str">
        <f>IF(UnitsNo=1,"°C",IF(UnitsNo=2,"°F",))</f>
        <v>°C</v>
      </c>
      <c r="F11" s="18" t="str">
        <f>B11</f>
        <v>Supply water</v>
      </c>
      <c r="G11" s="18"/>
      <c r="H11" s="2"/>
      <c r="I11" s="42" t="str">
        <f>E11</f>
        <v>°C</v>
      </c>
      <c r="J11" s="122"/>
      <c r="K11" s="123" t="str">
        <f>E11</f>
        <v>°C</v>
      </c>
      <c r="L11" s="12"/>
      <c r="M11" s="11" t="s">
        <v>176</v>
      </c>
    </row>
    <row r="12" spans="1:13" s="1" customFormat="1" x14ac:dyDescent="0.25">
      <c r="A12" s="12"/>
      <c r="B12" s="41" t="s">
        <v>73</v>
      </c>
      <c r="C12" s="18"/>
      <c r="D12" s="2"/>
      <c r="E12" s="18" t="str">
        <f>E11</f>
        <v>°C</v>
      </c>
      <c r="F12" s="18" t="str">
        <f>B12</f>
        <v>Return water</v>
      </c>
      <c r="G12" s="18"/>
      <c r="H12" s="2"/>
      <c r="I12" s="18" t="str">
        <f>E11</f>
        <v>°C</v>
      </c>
      <c r="J12" s="124"/>
      <c r="K12" s="125" t="str">
        <f>E11</f>
        <v>°C</v>
      </c>
      <c r="L12" s="12"/>
    </row>
    <row r="13" spans="1:13" s="1" customFormat="1" x14ac:dyDescent="0.25">
      <c r="A13" s="12"/>
      <c r="B13" s="41" t="s">
        <v>74</v>
      </c>
      <c r="C13" s="18"/>
      <c r="D13" s="2"/>
      <c r="E13" s="18" t="str">
        <f>E11</f>
        <v>°C</v>
      </c>
      <c r="F13" s="18" t="str">
        <f>B13</f>
        <v>Entering air</v>
      </c>
      <c r="G13" s="18"/>
      <c r="H13" s="2"/>
      <c r="I13" s="18" t="str">
        <f>E11</f>
        <v>°C</v>
      </c>
      <c r="J13" s="124"/>
      <c r="K13" s="125" t="str">
        <f>E11</f>
        <v>°C</v>
      </c>
      <c r="L13" s="12"/>
    </row>
    <row r="14" spans="1:13" s="1" customFormat="1" ht="14.1" customHeight="1" x14ac:dyDescent="0.25">
      <c r="A14" s="12"/>
      <c r="B14" s="20"/>
      <c r="C14" s="21"/>
      <c r="D14" s="22"/>
      <c r="E14" s="22"/>
      <c r="F14" s="22"/>
      <c r="G14" s="22"/>
      <c r="H14" s="22"/>
      <c r="I14" s="22"/>
      <c r="J14" s="126"/>
      <c r="K14" s="127"/>
      <c r="L14" s="12"/>
    </row>
    <row r="15" spans="1:13" s="1" customFormat="1" ht="6" customHeight="1" x14ac:dyDescent="0.25">
      <c r="A15" s="12"/>
      <c r="B15" s="12"/>
      <c r="C15" s="12"/>
      <c r="D15" s="12"/>
      <c r="E15" s="12"/>
      <c r="F15" s="44"/>
      <c r="G15" s="44"/>
      <c r="H15" s="45"/>
      <c r="I15" s="45"/>
      <c r="J15" s="12"/>
      <c r="K15" s="12"/>
      <c r="L15" s="12"/>
    </row>
    <row r="16" spans="1:13" s="1" customFormat="1" ht="114.95" customHeight="1" x14ac:dyDescent="0.25">
      <c r="A16" s="23"/>
      <c r="B16" s="55" t="str">
        <f>CONCATENATE("Length ",IF(UnitsNo=1,"[cm]",IF(UnitsNo=2,"[inch]",)))</f>
        <v>Length [cm]</v>
      </c>
      <c r="C16" s="56" t="str">
        <f>CONCATENATE("Heating capacity in",IF(UnitsNo=1," [W]",IF(UnitsNo=2," [Btu/h]",)))</f>
        <v>Heating capacity in [W]</v>
      </c>
      <c r="D16" s="57" t="str">
        <f>CONCATENATE("Water flowrate, heating in",IF(UnitsNo=1," [l/h]",IF(UnitsNo=2," [GPM]",)))</f>
        <v>Water flowrate, heating in [l/h]</v>
      </c>
      <c r="E16" s="54" t="str">
        <f>"Water side pressure loss ["&amp;IF(UnitsNo=1,"kPa","ftH2O")&amp;"]"</f>
        <v>Water side pressure loss [kPa]</v>
      </c>
      <c r="F16" s="58" t="str">
        <f>CONCATENATE("Sens. cooling capacity in",IF(UnitsNo=1," [W]",IF(UnitsNo=2," [Btu/h]",)))</f>
        <v>Sens. cooling capacity in [W]</v>
      </c>
      <c r="G16" s="57" t="str">
        <f>CONCATENATE("Water flowrate, cooling in",IF(UnitsNo=1," [l/h]",IF(UnitsNo=2," [GPM]",)))</f>
        <v>Water flowrate, cooling in [l/h]</v>
      </c>
      <c r="H16" s="54" t="str">
        <f>E16</f>
        <v>Water side pressure loss [kPa]</v>
      </c>
      <c r="I16" s="48" t="str">
        <f>"Air flowrate"&amp;IF(UnitsNo=1," [m³/h]",IF(UnitsNo=2," [CFM]",))</f>
        <v>Air flowrate [m³/h]</v>
      </c>
      <c r="J16" s="49" t="s">
        <v>37</v>
      </c>
      <c r="K16" s="50" t="s">
        <v>142</v>
      </c>
      <c r="L16" s="12"/>
    </row>
    <row r="17" spans="1:12" s="35" customFormat="1" ht="15" customHeight="1" x14ac:dyDescent="0.25">
      <c r="A17" s="12"/>
      <c r="B17" s="95" t="str">
        <f>CONCATENATE("Clima Beam - "," H",cal!H6," B",cal!M15," Type ",cal!L16)</f>
        <v>Clima Beam -  H15,3 B36 Type 20</v>
      </c>
      <c r="C17" s="96"/>
      <c r="D17" s="96"/>
      <c r="E17" s="96"/>
      <c r="F17" s="96"/>
      <c r="G17" s="96"/>
      <c r="H17" s="96"/>
      <c r="I17" s="97"/>
      <c r="J17" s="97"/>
      <c r="K17" s="98"/>
      <c r="L17" s="12"/>
    </row>
    <row r="18" spans="1:12" s="35" customFormat="1" ht="15" customHeight="1" x14ac:dyDescent="0.25">
      <c r="A18" s="12"/>
      <c r="B18" s="59"/>
      <c r="C18" s="24"/>
      <c r="D18" s="60"/>
      <c r="E18" s="61"/>
      <c r="F18" s="24"/>
      <c r="G18" s="60"/>
      <c r="H18" s="61"/>
      <c r="I18" s="24"/>
      <c r="J18" s="26"/>
      <c r="K18" s="25"/>
      <c r="L18" s="12"/>
    </row>
    <row r="19" spans="1:12" s="1" customFormat="1" ht="15" customHeight="1" x14ac:dyDescent="0.25">
      <c r="A19" s="12"/>
      <c r="B19" s="62"/>
      <c r="C19" s="27"/>
      <c r="D19" s="51"/>
      <c r="E19" s="53"/>
      <c r="F19" s="27"/>
      <c r="G19" s="51"/>
      <c r="H19" s="53"/>
      <c r="I19" s="27"/>
      <c r="J19" s="29"/>
      <c r="K19" s="28"/>
      <c r="L19" s="12"/>
    </row>
    <row r="20" spans="1:12" s="1" customFormat="1" ht="15" customHeight="1" x14ac:dyDescent="0.25">
      <c r="A20" s="12"/>
      <c r="B20" s="62"/>
      <c r="C20" s="27"/>
      <c r="D20" s="51"/>
      <c r="E20" s="53"/>
      <c r="F20" s="27"/>
      <c r="G20" s="51"/>
      <c r="H20" s="53"/>
      <c r="I20" s="27"/>
      <c r="J20" s="29"/>
      <c r="K20" s="28"/>
      <c r="L20" s="12"/>
    </row>
    <row r="21" spans="1:12" s="1" customFormat="1" ht="15" customHeight="1" x14ac:dyDescent="0.25">
      <c r="A21" s="12"/>
      <c r="B21" s="62"/>
      <c r="C21" s="27"/>
      <c r="D21" s="51"/>
      <c r="E21" s="53"/>
      <c r="F21" s="27"/>
      <c r="G21" s="51"/>
      <c r="H21" s="53"/>
      <c r="I21" s="27"/>
      <c r="J21" s="29"/>
      <c r="K21" s="28"/>
      <c r="L21" s="12"/>
    </row>
    <row r="22" spans="1:12" s="1" customFormat="1" ht="15" customHeight="1" x14ac:dyDescent="0.25">
      <c r="A22" s="12"/>
      <c r="B22" s="62"/>
      <c r="C22" s="27"/>
      <c r="D22" s="51"/>
      <c r="E22" s="53"/>
      <c r="F22" s="27"/>
      <c r="G22" s="51"/>
      <c r="H22" s="53"/>
      <c r="I22" s="27"/>
      <c r="J22" s="29"/>
      <c r="K22" s="28"/>
      <c r="L22" s="12"/>
    </row>
    <row r="23" spans="1:12" s="1" customFormat="1" ht="15" customHeight="1" x14ac:dyDescent="0.25">
      <c r="A23" s="12"/>
      <c r="B23" s="62"/>
      <c r="C23" s="27"/>
      <c r="D23" s="51"/>
      <c r="E23" s="53"/>
      <c r="F23" s="27"/>
      <c r="G23" s="51"/>
      <c r="H23" s="53"/>
      <c r="I23" s="27"/>
      <c r="J23" s="29"/>
      <c r="K23" s="28"/>
      <c r="L23" s="12"/>
    </row>
    <row r="24" spans="1:12" s="1" customFormat="1" ht="15" customHeight="1" x14ac:dyDescent="0.25">
      <c r="A24" s="12"/>
      <c r="B24" s="62"/>
      <c r="C24" s="27"/>
      <c r="D24" s="51"/>
      <c r="E24" s="53"/>
      <c r="F24" s="27"/>
      <c r="G24" s="51"/>
      <c r="H24" s="53"/>
      <c r="I24" s="27"/>
      <c r="J24" s="29"/>
      <c r="K24" s="28"/>
      <c r="L24" s="12"/>
    </row>
    <row r="25" spans="1:12" s="1" customFormat="1" ht="15" customHeight="1" x14ac:dyDescent="0.25">
      <c r="A25" s="12"/>
      <c r="B25" s="62"/>
      <c r="C25" s="27"/>
      <c r="D25" s="51"/>
      <c r="E25" s="53"/>
      <c r="F25" s="27"/>
      <c r="G25" s="51"/>
      <c r="H25" s="53"/>
      <c r="I25" s="27"/>
      <c r="J25" s="29"/>
      <c r="K25" s="28"/>
      <c r="L25" s="12"/>
    </row>
    <row r="26" spans="1:12" s="1" customFormat="1" ht="15" customHeight="1" x14ac:dyDescent="0.25">
      <c r="A26" s="12"/>
      <c r="B26" s="62"/>
      <c r="C26" s="27"/>
      <c r="D26" s="51"/>
      <c r="E26" s="53"/>
      <c r="F26" s="27"/>
      <c r="G26" s="51"/>
      <c r="H26" s="53"/>
      <c r="I26" s="27"/>
      <c r="J26" s="29"/>
      <c r="K26" s="28"/>
      <c r="L26" s="12"/>
    </row>
    <row r="27" spans="1:12" s="1" customFormat="1" ht="15" customHeight="1" x14ac:dyDescent="0.25">
      <c r="A27" s="12"/>
      <c r="B27" s="62"/>
      <c r="C27" s="27"/>
      <c r="D27" s="51"/>
      <c r="E27" s="53"/>
      <c r="F27" s="27"/>
      <c r="G27" s="51"/>
      <c r="H27" s="53"/>
      <c r="I27" s="27"/>
      <c r="J27" s="29"/>
      <c r="K27" s="28"/>
      <c r="L27" s="12"/>
    </row>
    <row r="28" spans="1:12" s="1" customFormat="1" ht="15" customHeight="1" x14ac:dyDescent="0.25">
      <c r="A28" s="12"/>
      <c r="B28" s="62"/>
      <c r="C28" s="27"/>
      <c r="D28" s="51"/>
      <c r="E28" s="53"/>
      <c r="F28" s="27"/>
      <c r="G28" s="51"/>
      <c r="H28" s="53"/>
      <c r="I28" s="27"/>
      <c r="J28" s="29"/>
      <c r="K28" s="28"/>
      <c r="L28" s="12"/>
    </row>
    <row r="29" spans="1:12" s="1" customFormat="1" ht="15" customHeight="1" x14ac:dyDescent="0.25">
      <c r="A29" s="12"/>
      <c r="B29" s="63"/>
      <c r="C29" s="30"/>
      <c r="D29" s="52"/>
      <c r="E29" s="64"/>
      <c r="F29" s="30"/>
      <c r="G29" s="52"/>
      <c r="H29" s="64"/>
      <c r="I29" s="30"/>
      <c r="J29" s="32"/>
      <c r="K29" s="31"/>
      <c r="L29" s="12"/>
    </row>
    <row r="30" spans="1:12" s="1" customFormat="1" ht="15" customHeight="1" x14ac:dyDescent="0.25">
      <c r="A30" s="12"/>
      <c r="B30" s="93"/>
      <c r="C30" s="93"/>
      <c r="D30" s="93"/>
      <c r="E30" s="93"/>
      <c r="F30" s="93"/>
      <c r="G30" s="93"/>
      <c r="H30" s="33"/>
      <c r="I30" s="43"/>
      <c r="J30" s="36"/>
      <c r="K30" s="36"/>
      <c r="L30" s="12"/>
    </row>
    <row r="31" spans="1:12" s="1" customFormat="1" ht="16.5" customHeight="1" x14ac:dyDescent="0.25">
      <c r="A31" s="12"/>
      <c r="B31" s="93" t="s">
        <v>118</v>
      </c>
      <c r="C31" s="93"/>
      <c r="D31" s="93"/>
      <c r="E31" s="93"/>
      <c r="F31" s="93"/>
      <c r="G31" s="93"/>
      <c r="H31" s="93"/>
      <c r="I31" s="93"/>
      <c r="J31" s="93"/>
      <c r="K31" s="93"/>
      <c r="L31" s="12"/>
    </row>
    <row r="32" spans="1:12" ht="60.75" customHeight="1" x14ac:dyDescent="0.25">
      <c r="B32" s="93" t="s">
        <v>123</v>
      </c>
      <c r="C32" s="93"/>
      <c r="D32" s="93"/>
      <c r="E32" s="93"/>
      <c r="F32" s="93"/>
      <c r="G32" s="93"/>
      <c r="H32" s="93"/>
      <c r="I32" s="93"/>
      <c r="J32" s="93"/>
      <c r="K32" s="93"/>
    </row>
    <row r="33" spans="1:12" ht="33" customHeight="1" x14ac:dyDescent="0.25">
      <c r="B33" s="92" t="s">
        <v>50</v>
      </c>
      <c r="C33" s="92"/>
      <c r="D33" s="92"/>
      <c r="E33" s="92"/>
      <c r="F33" s="92"/>
      <c r="G33" s="92"/>
      <c r="H33" s="92"/>
      <c r="I33" s="92"/>
      <c r="J33" s="92"/>
      <c r="K33" s="92"/>
    </row>
    <row r="34" spans="1:12" x14ac:dyDescent="0.25">
      <c r="B34" s="47"/>
      <c r="C34" s="47"/>
      <c r="D34" s="47"/>
      <c r="E34" s="47"/>
      <c r="F34" s="47"/>
      <c r="G34" s="47"/>
    </row>
    <row r="35" spans="1:12" x14ac:dyDescent="0.25">
      <c r="B35" s="47"/>
      <c r="C35" s="47"/>
      <c r="D35" s="47"/>
      <c r="E35" s="47"/>
      <c r="F35" s="47"/>
      <c r="G35" s="47"/>
    </row>
    <row r="36" spans="1:12" x14ac:dyDescent="0.25">
      <c r="B36" s="47"/>
      <c r="C36" s="47"/>
      <c r="D36" s="47"/>
      <c r="E36" s="47"/>
      <c r="F36" s="47"/>
      <c r="G36" s="47"/>
    </row>
    <row r="39" spans="1:12" x14ac:dyDescent="0.25">
      <c r="A39" s="69"/>
      <c r="B39" s="69"/>
      <c r="C39" s="69"/>
      <c r="D39" s="69"/>
      <c r="E39" s="69"/>
      <c r="F39" s="69"/>
      <c r="G39" s="69"/>
      <c r="H39" s="69"/>
      <c r="I39" s="69"/>
      <c r="J39" s="69"/>
      <c r="K39" s="69"/>
      <c r="L39" s="69"/>
    </row>
    <row r="40" spans="1:12" ht="15" customHeight="1" x14ac:dyDescent="0.25">
      <c r="A40" s="69"/>
      <c r="B40" s="69"/>
      <c r="C40" s="69"/>
      <c r="D40" s="69"/>
      <c r="E40" s="69"/>
      <c r="F40" s="69"/>
      <c r="G40" s="69"/>
      <c r="H40" s="69"/>
      <c r="I40" s="69"/>
      <c r="J40" s="69"/>
      <c r="K40" s="69"/>
      <c r="L40" s="69"/>
    </row>
  </sheetData>
  <mergeCells count="17">
    <mergeCell ref="B17:K17"/>
    <mergeCell ref="B30:G30"/>
    <mergeCell ref="B31:K31"/>
    <mergeCell ref="B32:K32"/>
    <mergeCell ref="B33:K33"/>
    <mergeCell ref="J11:K14"/>
    <mergeCell ref="B2:I2"/>
    <mergeCell ref="F4:I4"/>
    <mergeCell ref="J4:K4"/>
    <mergeCell ref="B5:C5"/>
    <mergeCell ref="F5:I5"/>
    <mergeCell ref="J5:K5"/>
    <mergeCell ref="F6:I6"/>
    <mergeCell ref="J6:K6"/>
    <mergeCell ref="F7:I7"/>
    <mergeCell ref="J7:K7"/>
    <mergeCell ref="J10:K10"/>
  </mergeCells>
  <dataValidations count="2">
    <dataValidation type="whole" errorStyle="information" allowBlank="1" showErrorMessage="1" error="Eingabe außerhalb des gültigen Bereichs." prompt="20°C bis 35°C" sqref="F11:F13" xr:uid="{00000000-0002-0000-0300-000000000000}">
      <formula1>20</formula1>
      <formula2>35</formula2>
    </dataValidation>
    <dataValidation type="whole" errorStyle="information" allowBlank="1" showErrorMessage="1" error="Eingabe außerhalb des gültigen Bereichs." prompt="Eingabe zwischen 16°C bis 30°C" sqref="J11:J13" xr:uid="{00000000-0002-0000-0300-000001000000}">
      <formula1>16</formula1>
      <formula2>30</formula2>
    </dataValidation>
  </dataValidation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Blad7"/>
  <dimension ref="A1:M40"/>
  <sheetViews>
    <sheetView workbookViewId="0">
      <selection activeCell="F6" sqref="F6:I6"/>
    </sheetView>
  </sheetViews>
  <sheetFormatPr defaultRowHeight="15" x14ac:dyDescent="0.25"/>
  <cols>
    <col min="1" max="1" width="2.28515625" style="12" customWidth="1"/>
    <col min="2" max="8" width="9.7109375" style="12" customWidth="1"/>
    <col min="9" max="9" width="6.7109375" style="12" customWidth="1"/>
    <col min="10" max="10" width="10.7109375" style="12" customWidth="1"/>
    <col min="11" max="11" width="5.7109375" style="12" customWidth="1"/>
    <col min="12" max="12" width="2.28515625" style="12" customWidth="1"/>
    <col min="13" max="16384" width="9.140625" style="11"/>
  </cols>
  <sheetData>
    <row r="1" spans="1:13" x14ac:dyDescent="0.25">
      <c r="D1" s="38"/>
      <c r="E1" s="38"/>
      <c r="F1" s="38"/>
      <c r="G1" s="38"/>
    </row>
    <row r="2" spans="1:13" ht="15" customHeight="1" x14ac:dyDescent="0.25">
      <c r="B2" s="113"/>
      <c r="C2" s="114"/>
      <c r="D2" s="114"/>
      <c r="E2" s="114"/>
      <c r="F2" s="114"/>
      <c r="G2" s="114"/>
      <c r="H2" s="114"/>
      <c r="I2" s="115"/>
    </row>
    <row r="4" spans="1:13" s="1" customFormat="1" x14ac:dyDescent="0.25">
      <c r="A4" s="12"/>
      <c r="B4" s="13"/>
      <c r="C4" s="12"/>
      <c r="F4" s="100" t="s">
        <v>56</v>
      </c>
      <c r="G4" s="101"/>
      <c r="H4" s="101"/>
      <c r="I4" s="102"/>
      <c r="J4" s="103"/>
      <c r="K4" s="104"/>
      <c r="L4" s="12"/>
    </row>
    <row r="5" spans="1:13" s="1" customFormat="1" x14ac:dyDescent="0.25">
      <c r="A5" s="12"/>
      <c r="B5" s="94"/>
      <c r="C5" s="94"/>
      <c r="F5" s="100" t="s">
        <v>196</v>
      </c>
      <c r="G5" s="101"/>
      <c r="H5" s="101"/>
      <c r="I5" s="102"/>
      <c r="J5" s="130"/>
      <c r="K5" s="131"/>
      <c r="L5" s="12"/>
      <c r="M5" s="1" t="s">
        <v>2</v>
      </c>
    </row>
    <row r="6" spans="1:13" s="1" customFormat="1" x14ac:dyDescent="0.25">
      <c r="A6" s="12"/>
      <c r="B6" s="13"/>
      <c r="C6" s="12"/>
      <c r="F6" s="100" t="s">
        <v>84</v>
      </c>
      <c r="G6" s="101"/>
      <c r="H6" s="101"/>
      <c r="I6" s="102"/>
      <c r="J6" s="130"/>
      <c r="K6" s="131"/>
      <c r="L6" s="12"/>
      <c r="M6" s="1" t="s">
        <v>195</v>
      </c>
    </row>
    <row r="7" spans="1:13" s="1" customFormat="1" x14ac:dyDescent="0.25">
      <c r="A7" s="12"/>
      <c r="B7" s="14"/>
      <c r="C7" s="12"/>
      <c r="F7" s="100" t="s">
        <v>83</v>
      </c>
      <c r="G7" s="101"/>
      <c r="H7" s="101"/>
      <c r="I7" s="102"/>
      <c r="J7" s="128"/>
      <c r="K7" s="129"/>
      <c r="L7" s="12"/>
    </row>
    <row r="8" spans="1:13" s="1" customFormat="1" ht="6" customHeight="1" x14ac:dyDescent="0.25">
      <c r="A8" s="12"/>
      <c r="B8" s="15"/>
      <c r="C8" s="16"/>
      <c r="D8" s="16"/>
      <c r="E8" s="16"/>
      <c r="F8" s="16"/>
      <c r="G8" s="16"/>
      <c r="H8" s="18"/>
      <c r="I8" s="18"/>
      <c r="J8" s="16"/>
      <c r="K8" s="39"/>
      <c r="L8" s="12"/>
    </row>
    <row r="9" spans="1:13" s="1" customFormat="1" x14ac:dyDescent="0.25">
      <c r="A9" s="12"/>
      <c r="B9" s="17" t="s">
        <v>0</v>
      </c>
      <c r="C9" s="18"/>
      <c r="D9" s="18"/>
      <c r="E9" s="18"/>
      <c r="F9" s="18"/>
      <c r="G9" s="18"/>
      <c r="H9" s="18"/>
      <c r="I9" s="18"/>
      <c r="J9" s="18"/>
      <c r="K9" s="40"/>
      <c r="L9" s="12"/>
      <c r="M9" s="11" t="s">
        <v>194</v>
      </c>
    </row>
    <row r="10" spans="1:13" s="1" customFormat="1" ht="15.75" thickBot="1" x14ac:dyDescent="0.3">
      <c r="A10" s="12"/>
      <c r="B10" s="17" t="s">
        <v>39</v>
      </c>
      <c r="C10" s="19"/>
      <c r="D10" s="18"/>
      <c r="E10" s="18"/>
      <c r="F10" s="19" t="s">
        <v>38</v>
      </c>
      <c r="G10" s="18"/>
      <c r="H10" s="18"/>
      <c r="I10" s="19"/>
      <c r="J10" s="143" t="s">
        <v>82</v>
      </c>
      <c r="K10" s="144"/>
      <c r="L10" s="12"/>
      <c r="M10" s="11" t="s">
        <v>172</v>
      </c>
    </row>
    <row r="11" spans="1:13" s="1" customFormat="1" ht="15.75" thickTop="1" x14ac:dyDescent="0.25">
      <c r="A11" s="12"/>
      <c r="B11" s="41" t="s">
        <v>79</v>
      </c>
      <c r="C11" s="18"/>
      <c r="D11" s="2"/>
      <c r="E11" s="18" t="str">
        <f>IF(UnitsNo=1,"°C",IF(UnitsNo=2,"°F",))</f>
        <v>°C</v>
      </c>
      <c r="F11" s="18" t="str">
        <f>B11</f>
        <v>Vorlauftemp.</v>
      </c>
      <c r="G11" s="18"/>
      <c r="H11" s="2"/>
      <c r="I11" s="42" t="str">
        <f>E11</f>
        <v>°C</v>
      </c>
      <c r="J11" s="122"/>
      <c r="K11" s="123" t="str">
        <f>E11</f>
        <v>°C</v>
      </c>
      <c r="L11" s="12"/>
      <c r="M11" s="11" t="s">
        <v>173</v>
      </c>
    </row>
    <row r="12" spans="1:13" s="1" customFormat="1" x14ac:dyDescent="0.25">
      <c r="A12" s="12"/>
      <c r="B12" s="41" t="s">
        <v>80</v>
      </c>
      <c r="C12" s="18"/>
      <c r="D12" s="2"/>
      <c r="E12" s="18" t="str">
        <f>E11</f>
        <v>°C</v>
      </c>
      <c r="F12" s="18" t="str">
        <f>B12</f>
        <v>Rücklauftemp.</v>
      </c>
      <c r="G12" s="18"/>
      <c r="H12" s="2"/>
      <c r="I12" s="18" t="str">
        <f>E11</f>
        <v>°C</v>
      </c>
      <c r="J12" s="124"/>
      <c r="K12" s="125" t="str">
        <f>E11</f>
        <v>°C</v>
      </c>
      <c r="L12" s="12"/>
    </row>
    <row r="13" spans="1:13" s="1" customFormat="1" x14ac:dyDescent="0.25">
      <c r="A13" s="12"/>
      <c r="B13" s="41" t="s">
        <v>81</v>
      </c>
      <c r="C13" s="18"/>
      <c r="D13" s="2"/>
      <c r="E13" s="18" t="str">
        <f>E11</f>
        <v>°C</v>
      </c>
      <c r="F13" s="18" t="str">
        <f>B13</f>
        <v>Raumtemp.</v>
      </c>
      <c r="G13" s="18"/>
      <c r="H13" s="2"/>
      <c r="I13" s="18" t="str">
        <f>E11</f>
        <v>°C</v>
      </c>
      <c r="J13" s="124"/>
      <c r="K13" s="125" t="str">
        <f>E11</f>
        <v>°C</v>
      </c>
      <c r="L13" s="12"/>
    </row>
    <row r="14" spans="1:13" s="1" customFormat="1" ht="14.1" customHeight="1" x14ac:dyDescent="0.25">
      <c r="A14" s="12"/>
      <c r="B14" s="20"/>
      <c r="C14" s="21"/>
      <c r="D14" s="22"/>
      <c r="E14" s="22"/>
      <c r="F14" s="22"/>
      <c r="G14" s="22"/>
      <c r="H14" s="22"/>
      <c r="I14" s="22"/>
      <c r="J14" s="126"/>
      <c r="K14" s="127"/>
      <c r="L14" s="12"/>
    </row>
    <row r="15" spans="1:13" s="1" customFormat="1" ht="6" customHeight="1" x14ac:dyDescent="0.25">
      <c r="A15" s="12"/>
      <c r="B15" s="12"/>
      <c r="C15" s="12"/>
      <c r="D15" s="12"/>
      <c r="E15" s="12"/>
      <c r="F15" s="44"/>
      <c r="G15" s="44"/>
      <c r="H15" s="45"/>
      <c r="I15" s="45"/>
      <c r="J15" s="12"/>
      <c r="K15" s="12"/>
      <c r="L15" s="12"/>
    </row>
    <row r="16" spans="1:13" s="1" customFormat="1" ht="114.95" customHeight="1" x14ac:dyDescent="0.25">
      <c r="A16" s="23"/>
      <c r="B16" s="55" t="str">
        <f>CONCATENATE("Länge ",IF(UnitsNo=1,"[cm]",IF(UnitsNo=2,"[inch]",)))</f>
        <v>Länge [cm]</v>
      </c>
      <c r="C16" s="56" t="str">
        <f>CONCATENATE("Wärmeleistung in",IF(UnitsNo=1," [W]",IF(UnitsNo=2," [Btu/h]",)))</f>
        <v>Wärmeleistung in [W]</v>
      </c>
      <c r="D16" s="57" t="str">
        <f>CONCATENATE("Heizmittelstrom in",IF(UnitsNo=1," [l/h]",IF(UnitsNo=2," [GPM]",)))</f>
        <v>Heizmittelstrom in [l/h]</v>
      </c>
      <c r="E16" s="54" t="str">
        <f>"zug. wassers. Druckverlust ["&amp;IF(UnitsNo=1,"kPa","ftH2O")&amp;"]"</f>
        <v>zug. wassers. Druckverlust [kPa]</v>
      </c>
      <c r="F16" s="58" t="str">
        <f>CONCATENATE("Sens. kälteleistung in",IF(UnitsNo=1," [W]",IF(UnitsNo=2," [Btu/h]",)))</f>
        <v>Sens. kälteleistung in [W]</v>
      </c>
      <c r="G16" s="57" t="str">
        <f>CONCATENATE("Kühlmittelstrom in",IF(UnitsNo=1," [l/h]",IF(UnitsNo=2," [GPM]",)))</f>
        <v>Kühlmittelstrom in [l/h]</v>
      </c>
      <c r="H16" s="54" t="str">
        <f>E16</f>
        <v>zug. wassers. Druckverlust [kPa]</v>
      </c>
      <c r="I16" s="48" t="str">
        <f>"Luftvolumenstrom"&amp;IF(UnitsNo=1," [m³/h]",IF(UnitsNo=2," [CFM]",))</f>
        <v>Luftvolumenstrom [m³/h]</v>
      </c>
      <c r="J16" s="49" t="s">
        <v>40</v>
      </c>
      <c r="K16" s="50" t="s">
        <v>41</v>
      </c>
      <c r="L16" s="12"/>
    </row>
    <row r="17" spans="1:12" s="35" customFormat="1" ht="15" customHeight="1" x14ac:dyDescent="0.25">
      <c r="A17" s="12"/>
      <c r="B17" s="95" t="str">
        <f>CONCATENATE("Clima Beam - "," H",cal!H6," B",cal!M15," Typ ",cal!L16)</f>
        <v>Clima Beam -  H15,3 B36 Typ 20</v>
      </c>
      <c r="C17" s="96"/>
      <c r="D17" s="96"/>
      <c r="E17" s="96"/>
      <c r="F17" s="96"/>
      <c r="G17" s="96"/>
      <c r="H17" s="96"/>
      <c r="I17" s="97"/>
      <c r="J17" s="97"/>
      <c r="K17" s="98"/>
      <c r="L17" s="12"/>
    </row>
    <row r="18" spans="1:12" s="35" customFormat="1" ht="15" customHeight="1" x14ac:dyDescent="0.25">
      <c r="A18" s="12"/>
      <c r="B18" s="59"/>
      <c r="C18" s="24"/>
      <c r="D18" s="60"/>
      <c r="E18" s="61"/>
      <c r="F18" s="24"/>
      <c r="G18" s="60"/>
      <c r="H18" s="61"/>
      <c r="I18" s="24"/>
      <c r="J18" s="26"/>
      <c r="K18" s="25"/>
      <c r="L18" s="12"/>
    </row>
    <row r="19" spans="1:12" s="1" customFormat="1" ht="15" customHeight="1" x14ac:dyDescent="0.25">
      <c r="A19" s="12"/>
      <c r="B19" s="62"/>
      <c r="C19" s="27"/>
      <c r="D19" s="51"/>
      <c r="E19" s="53"/>
      <c r="F19" s="27"/>
      <c r="G19" s="51"/>
      <c r="H19" s="53"/>
      <c r="I19" s="27"/>
      <c r="J19" s="29"/>
      <c r="K19" s="28"/>
      <c r="L19" s="12"/>
    </row>
    <row r="20" spans="1:12" s="1" customFormat="1" ht="15" customHeight="1" x14ac:dyDescent="0.25">
      <c r="A20" s="12"/>
      <c r="B20" s="62"/>
      <c r="C20" s="27"/>
      <c r="D20" s="51"/>
      <c r="E20" s="53"/>
      <c r="F20" s="27"/>
      <c r="G20" s="51"/>
      <c r="H20" s="53"/>
      <c r="I20" s="27"/>
      <c r="J20" s="29"/>
      <c r="K20" s="28"/>
      <c r="L20" s="12"/>
    </row>
    <row r="21" spans="1:12" s="1" customFormat="1" ht="15" customHeight="1" x14ac:dyDescent="0.25">
      <c r="A21" s="12"/>
      <c r="B21" s="62"/>
      <c r="C21" s="27"/>
      <c r="D21" s="51"/>
      <c r="E21" s="53"/>
      <c r="F21" s="27"/>
      <c r="G21" s="51"/>
      <c r="H21" s="53"/>
      <c r="I21" s="27"/>
      <c r="J21" s="29"/>
      <c r="K21" s="28"/>
      <c r="L21" s="12"/>
    </row>
    <row r="22" spans="1:12" s="1" customFormat="1" ht="15" customHeight="1" x14ac:dyDescent="0.25">
      <c r="A22" s="12"/>
      <c r="B22" s="62"/>
      <c r="C22" s="27"/>
      <c r="D22" s="51"/>
      <c r="E22" s="53"/>
      <c r="F22" s="27"/>
      <c r="G22" s="51"/>
      <c r="H22" s="53"/>
      <c r="I22" s="27"/>
      <c r="J22" s="29"/>
      <c r="K22" s="28"/>
      <c r="L22" s="12"/>
    </row>
    <row r="23" spans="1:12" s="1" customFormat="1" ht="15" customHeight="1" x14ac:dyDescent="0.25">
      <c r="A23" s="12"/>
      <c r="B23" s="62"/>
      <c r="C23" s="27"/>
      <c r="D23" s="51"/>
      <c r="E23" s="53"/>
      <c r="F23" s="27"/>
      <c r="G23" s="51"/>
      <c r="H23" s="53"/>
      <c r="I23" s="27"/>
      <c r="J23" s="29"/>
      <c r="K23" s="28"/>
      <c r="L23" s="12"/>
    </row>
    <row r="24" spans="1:12" s="1" customFormat="1" ht="15" customHeight="1" x14ac:dyDescent="0.25">
      <c r="A24" s="12"/>
      <c r="B24" s="62"/>
      <c r="C24" s="27"/>
      <c r="D24" s="51"/>
      <c r="E24" s="53"/>
      <c r="F24" s="27"/>
      <c r="G24" s="51"/>
      <c r="H24" s="53"/>
      <c r="I24" s="27"/>
      <c r="J24" s="29"/>
      <c r="K24" s="28"/>
      <c r="L24" s="12"/>
    </row>
    <row r="25" spans="1:12" s="1" customFormat="1" ht="15" customHeight="1" x14ac:dyDescent="0.25">
      <c r="A25" s="12"/>
      <c r="B25" s="62"/>
      <c r="C25" s="27"/>
      <c r="D25" s="51"/>
      <c r="E25" s="53"/>
      <c r="F25" s="27"/>
      <c r="G25" s="51"/>
      <c r="H25" s="53"/>
      <c r="I25" s="27"/>
      <c r="J25" s="29"/>
      <c r="K25" s="28"/>
      <c r="L25" s="12"/>
    </row>
    <row r="26" spans="1:12" s="1" customFormat="1" ht="15" customHeight="1" x14ac:dyDescent="0.25">
      <c r="A26" s="12"/>
      <c r="B26" s="62"/>
      <c r="C26" s="27"/>
      <c r="D26" s="51"/>
      <c r="E26" s="53"/>
      <c r="F26" s="27"/>
      <c r="G26" s="51"/>
      <c r="H26" s="53"/>
      <c r="I26" s="27"/>
      <c r="J26" s="29"/>
      <c r="K26" s="28"/>
      <c r="L26" s="12"/>
    </row>
    <row r="27" spans="1:12" s="1" customFormat="1" ht="15" customHeight="1" x14ac:dyDescent="0.25">
      <c r="A27" s="12"/>
      <c r="B27" s="62"/>
      <c r="C27" s="27"/>
      <c r="D27" s="51"/>
      <c r="E27" s="53"/>
      <c r="F27" s="27"/>
      <c r="G27" s="51"/>
      <c r="H27" s="53"/>
      <c r="I27" s="27"/>
      <c r="J27" s="29"/>
      <c r="K27" s="28"/>
      <c r="L27" s="12"/>
    </row>
    <row r="28" spans="1:12" s="1" customFormat="1" ht="15" customHeight="1" x14ac:dyDescent="0.25">
      <c r="A28" s="12"/>
      <c r="B28" s="62"/>
      <c r="C28" s="27"/>
      <c r="D28" s="51"/>
      <c r="E28" s="53"/>
      <c r="F28" s="27"/>
      <c r="G28" s="51"/>
      <c r="H28" s="53"/>
      <c r="I28" s="27"/>
      <c r="J28" s="29"/>
      <c r="K28" s="28"/>
      <c r="L28" s="12"/>
    </row>
    <row r="29" spans="1:12" s="1" customFormat="1" ht="15" customHeight="1" x14ac:dyDescent="0.25">
      <c r="A29" s="12"/>
      <c r="B29" s="63"/>
      <c r="C29" s="30"/>
      <c r="D29" s="52"/>
      <c r="E29" s="64"/>
      <c r="F29" s="30"/>
      <c r="G29" s="52"/>
      <c r="H29" s="64"/>
      <c r="I29" s="30"/>
      <c r="J29" s="32"/>
      <c r="K29" s="31"/>
      <c r="L29" s="12"/>
    </row>
    <row r="30" spans="1:12" s="1" customFormat="1" ht="15" customHeight="1" x14ac:dyDescent="0.25">
      <c r="A30" s="12"/>
      <c r="B30" s="46"/>
      <c r="C30" s="46"/>
      <c r="D30" s="46"/>
      <c r="E30" s="46"/>
      <c r="F30" s="46"/>
      <c r="G30" s="46"/>
      <c r="H30" s="33"/>
      <c r="I30" s="43"/>
      <c r="J30" s="36"/>
      <c r="K30" s="36"/>
      <c r="L30" s="12"/>
    </row>
    <row r="31" spans="1:12" s="1" customFormat="1" ht="16.5" customHeight="1" x14ac:dyDescent="0.25">
      <c r="A31" s="12"/>
      <c r="B31" s="93" t="s">
        <v>120</v>
      </c>
      <c r="C31" s="93"/>
      <c r="D31" s="93"/>
      <c r="E31" s="93"/>
      <c r="F31" s="93"/>
      <c r="G31" s="93"/>
      <c r="H31" s="93"/>
      <c r="I31" s="93"/>
      <c r="J31" s="93"/>
      <c r="K31" s="93"/>
      <c r="L31" s="12"/>
    </row>
    <row r="32" spans="1:12" ht="60.75" customHeight="1" x14ac:dyDescent="0.25">
      <c r="B32" s="93" t="s">
        <v>124</v>
      </c>
      <c r="C32" s="93"/>
      <c r="D32" s="93"/>
      <c r="E32" s="93"/>
      <c r="F32" s="93"/>
      <c r="G32" s="93"/>
      <c r="H32" s="93"/>
      <c r="I32" s="93"/>
      <c r="J32" s="93"/>
      <c r="K32" s="93"/>
    </row>
    <row r="33" spans="1:12" ht="33" customHeight="1" x14ac:dyDescent="0.25">
      <c r="B33" s="92" t="s">
        <v>50</v>
      </c>
      <c r="C33" s="92"/>
      <c r="D33" s="92"/>
      <c r="E33" s="92"/>
      <c r="F33" s="92"/>
      <c r="G33" s="92"/>
      <c r="H33" s="92"/>
      <c r="I33" s="92"/>
      <c r="J33" s="92"/>
      <c r="K33" s="92"/>
    </row>
    <row r="34" spans="1:12" x14ac:dyDescent="0.25">
      <c r="B34" s="47"/>
      <c r="C34" s="47"/>
      <c r="D34" s="47"/>
      <c r="E34" s="47"/>
      <c r="F34" s="47"/>
      <c r="G34" s="47"/>
    </row>
    <row r="35" spans="1:12" x14ac:dyDescent="0.25">
      <c r="B35" s="47"/>
      <c r="C35" s="47"/>
      <c r="D35" s="47"/>
      <c r="E35" s="47"/>
      <c r="F35" s="47"/>
      <c r="G35" s="47"/>
    </row>
    <row r="36" spans="1:12" x14ac:dyDescent="0.25">
      <c r="B36" s="47"/>
      <c r="C36" s="47"/>
      <c r="D36" s="47"/>
      <c r="E36" s="47"/>
      <c r="F36" s="47"/>
      <c r="G36" s="47"/>
    </row>
    <row r="39" spans="1:12" x14ac:dyDescent="0.25">
      <c r="A39" s="69"/>
      <c r="B39" s="69"/>
      <c r="C39" s="69"/>
      <c r="D39" s="69"/>
      <c r="E39" s="69"/>
      <c r="F39" s="69"/>
      <c r="G39" s="69"/>
      <c r="H39" s="69"/>
      <c r="I39" s="69"/>
      <c r="J39" s="69"/>
      <c r="K39" s="69"/>
      <c r="L39" s="69"/>
    </row>
    <row r="40" spans="1:12" ht="15" customHeight="1" x14ac:dyDescent="0.25">
      <c r="A40" s="69"/>
      <c r="B40" s="69"/>
      <c r="C40" s="69"/>
      <c r="D40" s="69"/>
      <c r="E40" s="69"/>
      <c r="F40" s="69"/>
      <c r="G40" s="69"/>
      <c r="H40" s="69"/>
      <c r="I40" s="69"/>
      <c r="J40" s="69"/>
      <c r="K40" s="69"/>
      <c r="L40" s="69"/>
    </row>
  </sheetData>
  <mergeCells count="16">
    <mergeCell ref="B17:K17"/>
    <mergeCell ref="B31:K31"/>
    <mergeCell ref="B32:K32"/>
    <mergeCell ref="B33:K33"/>
    <mergeCell ref="F6:I6"/>
    <mergeCell ref="J6:K6"/>
    <mergeCell ref="F7:I7"/>
    <mergeCell ref="J7:K7"/>
    <mergeCell ref="J10:K10"/>
    <mergeCell ref="J11:K14"/>
    <mergeCell ref="B2:I2"/>
    <mergeCell ref="F4:I4"/>
    <mergeCell ref="J4:K4"/>
    <mergeCell ref="B5:C5"/>
    <mergeCell ref="F5:I5"/>
    <mergeCell ref="J5:K5"/>
  </mergeCells>
  <dataValidations disablePrompts="1" count="2">
    <dataValidation type="whole" errorStyle="information" allowBlank="1" showErrorMessage="1" error="Eingabe außerhalb des gültigen Bereichs." prompt="Eingabe zwischen 16°C bis 30°C" sqref="J11:J13" xr:uid="{00000000-0002-0000-0400-000000000000}">
      <formula1>16</formula1>
      <formula2>30</formula2>
    </dataValidation>
    <dataValidation type="whole" errorStyle="information" allowBlank="1" showErrorMessage="1" error="Eingabe außerhalb des gültigen Bereichs." prompt="20°C bis 35°C" sqref="F11:F13" xr:uid="{00000000-0002-0000-0400-000001000000}">
      <formula1>20</formula1>
      <formula2>35</formula2>
    </dataValidation>
  </dataValidation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Blad8"/>
  <dimension ref="A1:M40"/>
  <sheetViews>
    <sheetView workbookViewId="0">
      <selection activeCell="J6" sqref="J6:K6"/>
    </sheetView>
  </sheetViews>
  <sheetFormatPr defaultRowHeight="15" x14ac:dyDescent="0.25"/>
  <cols>
    <col min="1" max="1" width="2.28515625" style="12" customWidth="1"/>
    <col min="2" max="8" width="9.7109375" style="12" customWidth="1"/>
    <col min="9" max="9" width="6.7109375" style="12" customWidth="1"/>
    <col min="10" max="10" width="10.7109375" style="12" customWidth="1"/>
    <col min="11" max="11" width="5.7109375" style="12" customWidth="1"/>
    <col min="12" max="12" width="2.28515625" style="12" customWidth="1"/>
    <col min="13" max="16384" width="9.140625" style="11"/>
  </cols>
  <sheetData>
    <row r="1" spans="1:13" x14ac:dyDescent="0.25">
      <c r="D1" s="38"/>
      <c r="E1" s="38"/>
      <c r="F1" s="38"/>
      <c r="G1" s="38"/>
    </row>
    <row r="2" spans="1:13" ht="15" customHeight="1" x14ac:dyDescent="0.25">
      <c r="B2" s="113"/>
      <c r="C2" s="114"/>
      <c r="D2" s="114"/>
      <c r="E2" s="114"/>
      <c r="F2" s="114"/>
      <c r="G2" s="114"/>
      <c r="H2" s="114"/>
      <c r="I2" s="115"/>
    </row>
    <row r="4" spans="1:13" s="1" customFormat="1" x14ac:dyDescent="0.25">
      <c r="A4" s="12"/>
      <c r="B4" s="13"/>
      <c r="C4" s="12"/>
      <c r="F4" s="100" t="s">
        <v>56</v>
      </c>
      <c r="G4" s="101"/>
      <c r="H4" s="101"/>
      <c r="I4" s="102"/>
      <c r="J4" s="103"/>
      <c r="K4" s="104"/>
      <c r="L4" s="12"/>
    </row>
    <row r="5" spans="1:13" s="1" customFormat="1" x14ac:dyDescent="0.25">
      <c r="A5" s="12"/>
      <c r="B5" s="94"/>
      <c r="C5" s="94"/>
      <c r="F5" s="100" t="s">
        <v>35</v>
      </c>
      <c r="G5" s="101"/>
      <c r="H5" s="101"/>
      <c r="I5" s="102"/>
      <c r="J5" s="130"/>
      <c r="K5" s="131"/>
      <c r="L5" s="12"/>
      <c r="M5" s="1" t="s">
        <v>47</v>
      </c>
    </row>
    <row r="6" spans="1:13" s="1" customFormat="1" x14ac:dyDescent="0.25">
      <c r="A6" s="12"/>
      <c r="B6" s="13"/>
      <c r="C6" s="12"/>
      <c r="F6" s="100" t="s">
        <v>116</v>
      </c>
      <c r="G6" s="101"/>
      <c r="H6" s="101"/>
      <c r="I6" s="102"/>
      <c r="J6" s="130"/>
      <c r="K6" s="131"/>
      <c r="L6" s="12"/>
      <c r="M6" s="1" t="s">
        <v>51</v>
      </c>
    </row>
    <row r="7" spans="1:13" s="1" customFormat="1" x14ac:dyDescent="0.25">
      <c r="A7" s="12"/>
      <c r="B7" s="14"/>
      <c r="C7" s="12"/>
      <c r="F7" s="100" t="s">
        <v>117</v>
      </c>
      <c r="G7" s="101"/>
      <c r="H7" s="101"/>
      <c r="I7" s="102"/>
      <c r="J7" s="128"/>
      <c r="K7" s="129"/>
      <c r="L7" s="12"/>
    </row>
    <row r="8" spans="1:13" s="1" customFormat="1" ht="6" customHeight="1" x14ac:dyDescent="0.25">
      <c r="A8" s="12"/>
      <c r="B8" s="15"/>
      <c r="C8" s="16"/>
      <c r="D8" s="16"/>
      <c r="E8" s="16"/>
      <c r="F8" s="16"/>
      <c r="G8" s="16"/>
      <c r="H8" s="18"/>
      <c r="I8" s="18"/>
      <c r="J8" s="16"/>
      <c r="K8" s="39"/>
      <c r="L8" s="12"/>
    </row>
    <row r="9" spans="1:13" s="1" customFormat="1" x14ac:dyDescent="0.25">
      <c r="A9" s="12"/>
      <c r="B9" s="17" t="s">
        <v>42</v>
      </c>
      <c r="C9" s="18"/>
      <c r="D9" s="18"/>
      <c r="E9" s="18"/>
      <c r="F9" s="18"/>
      <c r="G9" s="18"/>
      <c r="H9" s="18"/>
      <c r="I9" s="18"/>
      <c r="J9" s="18"/>
      <c r="K9" s="40"/>
      <c r="L9" s="12"/>
      <c r="M9" s="11" t="s">
        <v>169</v>
      </c>
    </row>
    <row r="10" spans="1:13" s="1" customFormat="1" ht="15.75" thickBot="1" x14ac:dyDescent="0.3">
      <c r="A10" s="12"/>
      <c r="B10" s="17" t="s">
        <v>44</v>
      </c>
      <c r="C10" s="19"/>
      <c r="D10" s="18"/>
      <c r="E10" s="18"/>
      <c r="F10" s="19" t="s">
        <v>43</v>
      </c>
      <c r="G10" s="18"/>
      <c r="H10" s="18"/>
      <c r="I10" s="19"/>
      <c r="J10" s="143" t="s">
        <v>82</v>
      </c>
      <c r="K10" s="144"/>
      <c r="L10" s="12"/>
      <c r="M10" s="11" t="s">
        <v>170</v>
      </c>
    </row>
    <row r="11" spans="1:13" s="1" customFormat="1" ht="15.75" thickTop="1" x14ac:dyDescent="0.25">
      <c r="A11" s="12"/>
      <c r="B11" s="41" t="s">
        <v>85</v>
      </c>
      <c r="C11" s="18"/>
      <c r="D11" s="2"/>
      <c r="E11" s="18" t="str">
        <f>IF(UnitsNo=1,"°C",IF(UnitsNo=2,"°F",))</f>
        <v>°C</v>
      </c>
      <c r="F11" s="18" t="str">
        <f>B11</f>
        <v>Temp. entrée</v>
      </c>
      <c r="G11" s="18"/>
      <c r="H11" s="2"/>
      <c r="I11" s="42" t="str">
        <f>E11</f>
        <v>°C</v>
      </c>
      <c r="J11" s="122"/>
      <c r="K11" s="123" t="str">
        <f>E11</f>
        <v>°C</v>
      </c>
      <c r="L11" s="12"/>
      <c r="M11" s="11" t="s">
        <v>171</v>
      </c>
    </row>
    <row r="12" spans="1:13" s="1" customFormat="1" x14ac:dyDescent="0.25">
      <c r="A12" s="12"/>
      <c r="B12" s="41" t="s">
        <v>86</v>
      </c>
      <c r="C12" s="18"/>
      <c r="D12" s="2"/>
      <c r="E12" s="18" t="str">
        <f>E11</f>
        <v>°C</v>
      </c>
      <c r="F12" s="18" t="str">
        <f>B12</f>
        <v>Temp. retour</v>
      </c>
      <c r="G12" s="18"/>
      <c r="H12" s="2"/>
      <c r="I12" s="18" t="str">
        <f>E11</f>
        <v>°C</v>
      </c>
      <c r="J12" s="124"/>
      <c r="K12" s="125" t="str">
        <f>E11</f>
        <v>°C</v>
      </c>
      <c r="L12" s="12"/>
    </row>
    <row r="13" spans="1:13" s="1" customFormat="1" x14ac:dyDescent="0.25">
      <c r="A13" s="12"/>
      <c r="B13" s="41" t="s">
        <v>87</v>
      </c>
      <c r="C13" s="18"/>
      <c r="D13" s="2"/>
      <c r="E13" s="18" t="str">
        <f>E11</f>
        <v>°C</v>
      </c>
      <c r="F13" s="18" t="str">
        <f>B13</f>
        <v>Temp. ambiante</v>
      </c>
      <c r="G13" s="18"/>
      <c r="H13" s="2"/>
      <c r="I13" s="18" t="str">
        <f>E11</f>
        <v>°C</v>
      </c>
      <c r="J13" s="124"/>
      <c r="K13" s="125" t="str">
        <f>E11</f>
        <v>°C</v>
      </c>
      <c r="L13" s="12"/>
    </row>
    <row r="14" spans="1:13" s="1" customFormat="1" ht="14.1" customHeight="1" x14ac:dyDescent="0.25">
      <c r="A14" s="12"/>
      <c r="B14" s="20"/>
      <c r="C14" s="21"/>
      <c r="D14" s="22"/>
      <c r="E14" s="22"/>
      <c r="F14" s="22"/>
      <c r="G14" s="22"/>
      <c r="H14" s="22"/>
      <c r="I14" s="22"/>
      <c r="J14" s="126"/>
      <c r="K14" s="127"/>
      <c r="L14" s="12"/>
    </row>
    <row r="15" spans="1:13" s="1" customFormat="1" ht="6" customHeight="1" x14ac:dyDescent="0.25">
      <c r="A15" s="12"/>
      <c r="B15" s="12"/>
      <c r="C15" s="12"/>
      <c r="D15" s="12"/>
      <c r="E15" s="12"/>
      <c r="F15" s="44"/>
      <c r="G15" s="44"/>
      <c r="H15" s="45"/>
      <c r="I15" s="45"/>
      <c r="J15" s="12"/>
      <c r="K15" s="12"/>
      <c r="L15" s="12"/>
    </row>
    <row r="16" spans="1:13" s="1" customFormat="1" ht="114.95" customHeight="1" x14ac:dyDescent="0.25">
      <c r="A16" s="23"/>
      <c r="B16" s="55" t="str">
        <f>CONCATENATE("Länge ",IF(UnitsNo=1,"[cm]",IF(UnitsNo=2,"[inch]",)))</f>
        <v>Länge [cm]</v>
      </c>
      <c r="C16" s="56" t="str">
        <f>CONCATENATE("Capacité de chauffer en",IF(UnitsNo=1," [W]",IF(UnitsNo=2," [Btu/h]",)))</f>
        <v>Capacité de chauffer en [W]</v>
      </c>
      <c r="D16" s="57" t="str">
        <f>CONCATENATE("Débit d'eau, chauffer en",IF(UnitsNo=1," [l/h]",IF(UnitsNo=2," [GPM]",)))</f>
        <v>Débit d'eau, chauffer en [l/h]</v>
      </c>
      <c r="E16" s="54" t="str">
        <f>"Perte de charge ["&amp;IF(UnitsNo=1,"kPa","ftH2O")&amp;"]"</f>
        <v>Perte de charge [kPa]</v>
      </c>
      <c r="F16" s="58" t="str">
        <f>CONCATENATE("Capacité de refroidissement en",IF(UnitsNo=1," [W]",IF(UnitsNo=2," [Btu/h]",)))</f>
        <v>Capacité de refroidissement en [W]</v>
      </c>
      <c r="G16" s="57" t="str">
        <f>CONCATENATE("Débit d'eau, refroidissement en",IF(UnitsNo=1," [l/h]",IF(UnitsNo=2," [GPM]",)))</f>
        <v>Débit d'eau, refroidissement en [l/h]</v>
      </c>
      <c r="H16" s="54" t="str">
        <f>E16</f>
        <v>Perte de charge [kPa]</v>
      </c>
      <c r="I16" s="48" t="str">
        <f>"Débit d'air"&amp;IF(UnitsNo=1," [m³/h]",IF(UnitsNo=2," [CFM]",))</f>
        <v>Débit d'air [m³/h]</v>
      </c>
      <c r="J16" s="49" t="s">
        <v>48</v>
      </c>
      <c r="K16" s="50" t="s">
        <v>52</v>
      </c>
      <c r="L16" s="12"/>
    </row>
    <row r="17" spans="1:12" s="35" customFormat="1" ht="15" customHeight="1" x14ac:dyDescent="0.25">
      <c r="A17" s="12"/>
      <c r="B17" s="95" t="str">
        <f>CONCATENATE("Clima Beam - "," H",cal!H6," B",cal!M15," Type ",cal!L16)</f>
        <v>Clima Beam -  H15,3 B36 Type 20</v>
      </c>
      <c r="C17" s="96"/>
      <c r="D17" s="96"/>
      <c r="E17" s="96"/>
      <c r="F17" s="96"/>
      <c r="G17" s="96"/>
      <c r="H17" s="96"/>
      <c r="I17" s="97"/>
      <c r="J17" s="97"/>
      <c r="K17" s="98"/>
      <c r="L17" s="12"/>
    </row>
    <row r="18" spans="1:12" s="35" customFormat="1" ht="15" customHeight="1" x14ac:dyDescent="0.25">
      <c r="A18" s="12"/>
      <c r="B18" s="59"/>
      <c r="C18" s="24"/>
      <c r="D18" s="60"/>
      <c r="E18" s="61"/>
      <c r="F18" s="24"/>
      <c r="G18" s="60"/>
      <c r="H18" s="61"/>
      <c r="I18" s="24"/>
      <c r="J18" s="26"/>
      <c r="K18" s="25"/>
      <c r="L18" s="12"/>
    </row>
    <row r="19" spans="1:12" s="1" customFormat="1" ht="15" customHeight="1" x14ac:dyDescent="0.25">
      <c r="A19" s="12"/>
      <c r="B19" s="62"/>
      <c r="C19" s="27"/>
      <c r="D19" s="51"/>
      <c r="E19" s="53"/>
      <c r="F19" s="27"/>
      <c r="G19" s="51"/>
      <c r="H19" s="53"/>
      <c r="I19" s="27"/>
      <c r="J19" s="29"/>
      <c r="K19" s="28"/>
      <c r="L19" s="12"/>
    </row>
    <row r="20" spans="1:12" s="1" customFormat="1" ht="15" customHeight="1" x14ac:dyDescent="0.25">
      <c r="A20" s="12"/>
      <c r="B20" s="62"/>
      <c r="C20" s="27"/>
      <c r="D20" s="51"/>
      <c r="E20" s="53"/>
      <c r="F20" s="27"/>
      <c r="G20" s="51"/>
      <c r="H20" s="53"/>
      <c r="I20" s="27"/>
      <c r="J20" s="29"/>
      <c r="K20" s="28"/>
      <c r="L20" s="12"/>
    </row>
    <row r="21" spans="1:12" s="1" customFormat="1" ht="15" customHeight="1" x14ac:dyDescent="0.25">
      <c r="A21" s="12"/>
      <c r="B21" s="62"/>
      <c r="C21" s="27"/>
      <c r="D21" s="51"/>
      <c r="E21" s="53"/>
      <c r="F21" s="27"/>
      <c r="G21" s="51"/>
      <c r="H21" s="53"/>
      <c r="I21" s="27"/>
      <c r="J21" s="29"/>
      <c r="K21" s="28"/>
      <c r="L21" s="12"/>
    </row>
    <row r="22" spans="1:12" s="1" customFormat="1" ht="15" customHeight="1" x14ac:dyDescent="0.25">
      <c r="A22" s="12"/>
      <c r="B22" s="62"/>
      <c r="C22" s="27"/>
      <c r="D22" s="51"/>
      <c r="E22" s="53"/>
      <c r="F22" s="27"/>
      <c r="G22" s="51"/>
      <c r="H22" s="53"/>
      <c r="I22" s="27"/>
      <c r="J22" s="29"/>
      <c r="K22" s="28"/>
      <c r="L22" s="12"/>
    </row>
    <row r="23" spans="1:12" s="1" customFormat="1" ht="15" customHeight="1" x14ac:dyDescent="0.25">
      <c r="A23" s="12"/>
      <c r="B23" s="62"/>
      <c r="C23" s="27"/>
      <c r="D23" s="51"/>
      <c r="E23" s="53"/>
      <c r="F23" s="27"/>
      <c r="G23" s="51"/>
      <c r="H23" s="53"/>
      <c r="I23" s="27"/>
      <c r="J23" s="29"/>
      <c r="K23" s="28"/>
      <c r="L23" s="12"/>
    </row>
    <row r="24" spans="1:12" s="1" customFormat="1" ht="15" customHeight="1" x14ac:dyDescent="0.25">
      <c r="A24" s="12"/>
      <c r="B24" s="62"/>
      <c r="C24" s="27"/>
      <c r="D24" s="51"/>
      <c r="E24" s="53"/>
      <c r="F24" s="27"/>
      <c r="G24" s="51"/>
      <c r="H24" s="53"/>
      <c r="I24" s="27"/>
      <c r="J24" s="29"/>
      <c r="K24" s="28"/>
      <c r="L24" s="12"/>
    </row>
    <row r="25" spans="1:12" s="1" customFormat="1" ht="15" customHeight="1" x14ac:dyDescent="0.25">
      <c r="A25" s="12"/>
      <c r="B25" s="62"/>
      <c r="C25" s="27"/>
      <c r="D25" s="51"/>
      <c r="E25" s="53"/>
      <c r="F25" s="27"/>
      <c r="G25" s="51"/>
      <c r="H25" s="53"/>
      <c r="I25" s="27"/>
      <c r="J25" s="29"/>
      <c r="K25" s="28"/>
      <c r="L25" s="12"/>
    </row>
    <row r="26" spans="1:12" s="1" customFormat="1" ht="15" customHeight="1" x14ac:dyDescent="0.25">
      <c r="A26" s="12"/>
      <c r="B26" s="62"/>
      <c r="C26" s="27"/>
      <c r="D26" s="51"/>
      <c r="E26" s="53"/>
      <c r="F26" s="27"/>
      <c r="G26" s="51"/>
      <c r="H26" s="53"/>
      <c r="I26" s="27"/>
      <c r="J26" s="29"/>
      <c r="K26" s="28"/>
      <c r="L26" s="12"/>
    </row>
    <row r="27" spans="1:12" s="1" customFormat="1" ht="15" customHeight="1" x14ac:dyDescent="0.25">
      <c r="A27" s="12"/>
      <c r="B27" s="62"/>
      <c r="C27" s="27"/>
      <c r="D27" s="51"/>
      <c r="E27" s="53"/>
      <c r="F27" s="27"/>
      <c r="G27" s="51"/>
      <c r="H27" s="53"/>
      <c r="I27" s="27"/>
      <c r="J27" s="29"/>
      <c r="K27" s="28"/>
      <c r="L27" s="12"/>
    </row>
    <row r="28" spans="1:12" s="1" customFormat="1" ht="15" customHeight="1" x14ac:dyDescent="0.25">
      <c r="A28" s="12"/>
      <c r="B28" s="62"/>
      <c r="C28" s="27"/>
      <c r="D28" s="51"/>
      <c r="E28" s="53"/>
      <c r="F28" s="27"/>
      <c r="G28" s="51"/>
      <c r="H28" s="53"/>
      <c r="I28" s="27"/>
      <c r="J28" s="29"/>
      <c r="K28" s="28"/>
      <c r="L28" s="12"/>
    </row>
    <row r="29" spans="1:12" s="1" customFormat="1" ht="15" customHeight="1" x14ac:dyDescent="0.25">
      <c r="A29" s="12"/>
      <c r="B29" s="63"/>
      <c r="C29" s="30"/>
      <c r="D29" s="52"/>
      <c r="E29" s="64"/>
      <c r="F29" s="30"/>
      <c r="G29" s="52"/>
      <c r="H29" s="64"/>
      <c r="I29" s="30"/>
      <c r="J29" s="32"/>
      <c r="K29" s="31"/>
      <c r="L29" s="12"/>
    </row>
    <row r="30" spans="1:12" s="1" customFormat="1" ht="15" customHeight="1" x14ac:dyDescent="0.25">
      <c r="A30" s="12"/>
      <c r="B30" s="46"/>
      <c r="C30" s="46"/>
      <c r="D30" s="46"/>
      <c r="E30" s="46"/>
      <c r="F30" s="46"/>
      <c r="G30" s="46"/>
      <c r="H30" s="33"/>
      <c r="I30" s="43"/>
      <c r="J30" s="36"/>
      <c r="K30" s="36"/>
      <c r="L30" s="12"/>
    </row>
    <row r="31" spans="1:12" s="1" customFormat="1" ht="16.5" customHeight="1" x14ac:dyDescent="0.25">
      <c r="A31" s="12"/>
      <c r="B31" s="93" t="s">
        <v>119</v>
      </c>
      <c r="C31" s="93"/>
      <c r="D31" s="93"/>
      <c r="E31" s="93"/>
      <c r="F31" s="93"/>
      <c r="G31" s="93"/>
      <c r="H31" s="93"/>
      <c r="I31" s="93"/>
      <c r="J31" s="93"/>
      <c r="K31" s="93"/>
      <c r="L31" s="12"/>
    </row>
    <row r="32" spans="1:12" ht="60.75" customHeight="1" x14ac:dyDescent="0.25">
      <c r="B32" s="93" t="s">
        <v>125</v>
      </c>
      <c r="C32" s="93"/>
      <c r="D32" s="93"/>
      <c r="E32" s="93"/>
      <c r="F32" s="93"/>
      <c r="G32" s="93"/>
      <c r="H32" s="93"/>
      <c r="I32" s="93"/>
      <c r="J32" s="93"/>
      <c r="K32" s="93"/>
    </row>
    <row r="33" spans="1:12" ht="33" customHeight="1" x14ac:dyDescent="0.25">
      <c r="B33" s="92" t="s">
        <v>50</v>
      </c>
      <c r="C33" s="92"/>
      <c r="D33" s="92"/>
      <c r="E33" s="92"/>
      <c r="F33" s="92"/>
      <c r="G33" s="92"/>
      <c r="H33" s="92"/>
      <c r="I33" s="92"/>
      <c r="J33" s="92"/>
      <c r="K33" s="92"/>
    </row>
    <row r="34" spans="1:12" x14ac:dyDescent="0.25">
      <c r="B34" s="47"/>
      <c r="C34" s="47"/>
      <c r="D34" s="47"/>
      <c r="E34" s="47"/>
      <c r="F34" s="47"/>
      <c r="G34" s="47"/>
    </row>
    <row r="35" spans="1:12" x14ac:dyDescent="0.25">
      <c r="B35" s="47"/>
      <c r="C35" s="47"/>
      <c r="D35" s="47"/>
      <c r="E35" s="47"/>
      <c r="F35" s="47"/>
      <c r="G35" s="47"/>
    </row>
    <row r="36" spans="1:12" x14ac:dyDescent="0.25">
      <c r="B36" s="47"/>
      <c r="C36" s="47"/>
      <c r="D36" s="47"/>
      <c r="E36" s="47"/>
      <c r="F36" s="47"/>
      <c r="G36" s="47"/>
    </row>
    <row r="39" spans="1:12" x14ac:dyDescent="0.25">
      <c r="A39" s="69"/>
      <c r="B39" s="69"/>
      <c r="C39" s="69"/>
      <c r="D39" s="69"/>
      <c r="E39" s="69"/>
      <c r="F39" s="69"/>
      <c r="G39" s="69"/>
      <c r="H39" s="69"/>
      <c r="I39" s="69"/>
      <c r="J39" s="69"/>
      <c r="K39" s="69"/>
      <c r="L39" s="69"/>
    </row>
    <row r="40" spans="1:12" ht="15" customHeight="1" x14ac:dyDescent="0.25">
      <c r="A40" s="69"/>
      <c r="B40" s="69"/>
      <c r="C40" s="69"/>
      <c r="D40" s="69"/>
      <c r="E40" s="69"/>
      <c r="F40" s="69"/>
      <c r="G40" s="69"/>
      <c r="H40" s="69"/>
      <c r="I40" s="69"/>
      <c r="J40" s="69"/>
      <c r="K40" s="69"/>
      <c r="L40" s="69"/>
    </row>
  </sheetData>
  <mergeCells count="16">
    <mergeCell ref="B17:K17"/>
    <mergeCell ref="B31:K31"/>
    <mergeCell ref="B32:K32"/>
    <mergeCell ref="B33:K33"/>
    <mergeCell ref="F6:I6"/>
    <mergeCell ref="J6:K6"/>
    <mergeCell ref="F7:I7"/>
    <mergeCell ref="J7:K7"/>
    <mergeCell ref="J10:K10"/>
    <mergeCell ref="J11:K14"/>
    <mergeCell ref="B2:I2"/>
    <mergeCell ref="F4:I4"/>
    <mergeCell ref="J4:K4"/>
    <mergeCell ref="B5:C5"/>
    <mergeCell ref="F5:I5"/>
    <mergeCell ref="J5:K5"/>
  </mergeCells>
  <dataValidations count="2">
    <dataValidation type="whole" errorStyle="information" allowBlank="1" showErrorMessage="1" error="Eingabe außerhalb des gültigen Bereichs." prompt="20°C bis 35°C" sqref="F11:F13" xr:uid="{00000000-0002-0000-0500-000000000000}">
      <formula1>20</formula1>
      <formula2>35</formula2>
    </dataValidation>
    <dataValidation type="whole" errorStyle="information" allowBlank="1" showErrorMessage="1" error="Eingabe außerhalb des gültigen Bereichs." prompt="Eingabe zwischen 16°C bis 30°C" sqref="J11:J13" xr:uid="{00000000-0002-0000-0500-000001000000}">
      <formula1>16</formula1>
      <formula2>30</formula2>
    </dataValidation>
  </dataValidation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Blad9"/>
  <dimension ref="A1:M40"/>
  <sheetViews>
    <sheetView workbookViewId="0">
      <selection activeCell="J6" sqref="J6:K6"/>
    </sheetView>
  </sheetViews>
  <sheetFormatPr defaultRowHeight="15" x14ac:dyDescent="0.25"/>
  <cols>
    <col min="1" max="1" width="2.28515625" style="12" customWidth="1"/>
    <col min="2" max="8" width="9.7109375" style="12" customWidth="1"/>
    <col min="9" max="9" width="6.7109375" style="12" customWidth="1"/>
    <col min="10" max="10" width="10.7109375" style="12" customWidth="1"/>
    <col min="11" max="11" width="5.7109375" style="12" customWidth="1"/>
    <col min="12" max="12" width="2.28515625" style="12" customWidth="1"/>
    <col min="13" max="16384" width="9.140625" style="11"/>
  </cols>
  <sheetData>
    <row r="1" spans="1:13" x14ac:dyDescent="0.25">
      <c r="D1" s="38"/>
      <c r="E1" s="38"/>
      <c r="F1" s="38"/>
      <c r="G1" s="38"/>
    </row>
    <row r="2" spans="1:13" ht="15" customHeight="1" x14ac:dyDescent="0.25">
      <c r="B2" s="113"/>
      <c r="C2" s="114"/>
      <c r="D2" s="114"/>
      <c r="E2" s="114"/>
      <c r="F2" s="114"/>
      <c r="G2" s="114"/>
      <c r="H2" s="114"/>
      <c r="I2" s="115"/>
    </row>
    <row r="4" spans="1:13" s="1" customFormat="1" x14ac:dyDescent="0.25">
      <c r="A4" s="12"/>
      <c r="B4" s="13"/>
      <c r="C4" s="12"/>
      <c r="F4" s="100" t="s">
        <v>56</v>
      </c>
      <c r="G4" s="101"/>
      <c r="H4" s="101"/>
      <c r="I4" s="102"/>
      <c r="J4" s="103"/>
      <c r="K4" s="104"/>
      <c r="L4" s="12"/>
    </row>
    <row r="5" spans="1:13" s="1" customFormat="1" x14ac:dyDescent="0.25">
      <c r="A5" s="12"/>
      <c r="B5" s="94"/>
      <c r="C5" s="94"/>
      <c r="F5" s="100" t="s">
        <v>95</v>
      </c>
      <c r="G5" s="101"/>
      <c r="H5" s="101"/>
      <c r="I5" s="102"/>
      <c r="J5" s="130"/>
      <c r="K5" s="131"/>
      <c r="L5" s="12"/>
      <c r="M5" s="1" t="s">
        <v>100</v>
      </c>
    </row>
    <row r="6" spans="1:13" s="1" customFormat="1" x14ac:dyDescent="0.25">
      <c r="A6" s="12"/>
      <c r="B6" s="13"/>
      <c r="C6" s="12"/>
      <c r="F6" s="100" t="s">
        <v>97</v>
      </c>
      <c r="G6" s="101"/>
      <c r="H6" s="101"/>
      <c r="I6" s="102"/>
      <c r="J6" s="130"/>
      <c r="K6" s="131"/>
      <c r="L6" s="12"/>
      <c r="M6" s="1" t="s">
        <v>101</v>
      </c>
    </row>
    <row r="7" spans="1:13" s="1" customFormat="1" x14ac:dyDescent="0.25">
      <c r="A7" s="12"/>
      <c r="B7" s="14"/>
      <c r="C7" s="12"/>
      <c r="F7" s="100" t="s">
        <v>96</v>
      </c>
      <c r="G7" s="101"/>
      <c r="H7" s="101"/>
      <c r="I7" s="102"/>
      <c r="J7" s="128"/>
      <c r="K7" s="129"/>
      <c r="L7" s="12"/>
    </row>
    <row r="8" spans="1:13" s="1" customFormat="1" ht="6" customHeight="1" x14ac:dyDescent="0.25">
      <c r="A8" s="12"/>
      <c r="B8" s="15"/>
      <c r="C8" s="16"/>
      <c r="D8" s="16"/>
      <c r="E8" s="16"/>
      <c r="F8" s="16"/>
      <c r="G8" s="16"/>
      <c r="H8" s="18"/>
      <c r="I8" s="18"/>
      <c r="J8" s="16"/>
      <c r="K8" s="39"/>
      <c r="L8" s="12"/>
    </row>
    <row r="9" spans="1:13" s="1" customFormat="1" x14ac:dyDescent="0.25">
      <c r="A9" s="12"/>
      <c r="B9" s="17" t="s">
        <v>88</v>
      </c>
      <c r="C9" s="18"/>
      <c r="D9" s="18"/>
      <c r="E9" s="18"/>
      <c r="F9" s="18"/>
      <c r="G9" s="18"/>
      <c r="H9" s="18"/>
      <c r="I9" s="18"/>
      <c r="J9" s="18"/>
      <c r="K9" s="40"/>
      <c r="L9" s="12"/>
      <c r="M9" s="11" t="s">
        <v>167</v>
      </c>
    </row>
    <row r="10" spans="1:13" s="1" customFormat="1" ht="15.75" thickBot="1" x14ac:dyDescent="0.3">
      <c r="A10" s="12"/>
      <c r="B10" s="17" t="s">
        <v>89</v>
      </c>
      <c r="C10" s="19"/>
      <c r="D10" s="18"/>
      <c r="E10" s="18"/>
      <c r="F10" s="19" t="s">
        <v>92</v>
      </c>
      <c r="G10" s="18"/>
      <c r="H10" s="18"/>
      <c r="I10" s="19"/>
      <c r="J10" s="143" t="s">
        <v>94</v>
      </c>
      <c r="K10" s="144"/>
      <c r="L10" s="12"/>
      <c r="M10" s="11" t="s">
        <v>162</v>
      </c>
    </row>
    <row r="11" spans="1:13" s="1" customFormat="1" ht="15.75" thickTop="1" x14ac:dyDescent="0.25">
      <c r="A11" s="12"/>
      <c r="B11" s="41" t="s">
        <v>90</v>
      </c>
      <c r="C11" s="18"/>
      <c r="D11" s="2"/>
      <c r="E11" s="18" t="str">
        <f>IF(UnitsNo=1,"°C",IF(UnitsNo=2,"°F",))</f>
        <v>°C</v>
      </c>
      <c r="F11" s="18" t="str">
        <f>B11</f>
        <v>Tur vann</v>
      </c>
      <c r="G11" s="18"/>
      <c r="H11" s="2"/>
      <c r="I11" s="42" t="str">
        <f>E11</f>
        <v>°C</v>
      </c>
      <c r="J11" s="122"/>
      <c r="K11" s="123" t="str">
        <f>E11</f>
        <v>°C</v>
      </c>
      <c r="L11" s="12"/>
      <c r="M11" s="11" t="s">
        <v>168</v>
      </c>
    </row>
    <row r="12" spans="1:13" s="1" customFormat="1" x14ac:dyDescent="0.25">
      <c r="A12" s="12"/>
      <c r="B12" s="41" t="s">
        <v>91</v>
      </c>
      <c r="C12" s="18"/>
      <c r="D12" s="2"/>
      <c r="E12" s="18" t="str">
        <f>E11</f>
        <v>°C</v>
      </c>
      <c r="F12" s="18" t="str">
        <f>B12</f>
        <v>Retur vann</v>
      </c>
      <c r="G12" s="18"/>
      <c r="H12" s="2"/>
      <c r="I12" s="18" t="str">
        <f>E11</f>
        <v>°C</v>
      </c>
      <c r="J12" s="124"/>
      <c r="K12" s="125" t="str">
        <f>E11</f>
        <v>°C</v>
      </c>
      <c r="L12" s="12"/>
    </row>
    <row r="13" spans="1:13" s="1" customFormat="1" x14ac:dyDescent="0.25">
      <c r="A13" s="12"/>
      <c r="B13" s="41" t="s">
        <v>93</v>
      </c>
      <c r="C13" s="18"/>
      <c r="D13" s="2"/>
      <c r="E13" s="18" t="str">
        <f>E11</f>
        <v>°C</v>
      </c>
      <c r="F13" s="18" t="str">
        <f>B13</f>
        <v>Rom</v>
      </c>
      <c r="G13" s="18"/>
      <c r="H13" s="2"/>
      <c r="I13" s="18" t="str">
        <f>E11</f>
        <v>°C</v>
      </c>
      <c r="J13" s="124"/>
      <c r="K13" s="125" t="str">
        <f>E11</f>
        <v>°C</v>
      </c>
      <c r="L13" s="12"/>
    </row>
    <row r="14" spans="1:13" s="1" customFormat="1" ht="14.1" customHeight="1" x14ac:dyDescent="0.25">
      <c r="A14" s="12"/>
      <c r="B14" s="20"/>
      <c r="C14" s="21"/>
      <c r="D14" s="22"/>
      <c r="E14" s="22"/>
      <c r="F14" s="22"/>
      <c r="G14" s="22"/>
      <c r="H14" s="22"/>
      <c r="I14" s="22"/>
      <c r="J14" s="126"/>
      <c r="K14" s="127"/>
      <c r="L14" s="12"/>
    </row>
    <row r="15" spans="1:13" s="1" customFormat="1" ht="6" customHeight="1" x14ac:dyDescent="0.25">
      <c r="A15" s="12"/>
      <c r="B15" s="12"/>
      <c r="C15" s="12"/>
      <c r="D15" s="12"/>
      <c r="E15" s="12"/>
      <c r="F15" s="44"/>
      <c r="G15" s="44"/>
      <c r="H15" s="45"/>
      <c r="I15" s="45"/>
      <c r="J15" s="12"/>
      <c r="K15" s="12"/>
      <c r="L15" s="12"/>
    </row>
    <row r="16" spans="1:13" s="1" customFormat="1" ht="114.95" customHeight="1" x14ac:dyDescent="0.25">
      <c r="A16" s="23"/>
      <c r="B16" s="55" t="str">
        <f>CONCATENATE("Lengde ",IF(UnitsNo=1,"[cm]",IF(UnitsNo=2,"[inch]",)))</f>
        <v>Lengde [cm]</v>
      </c>
      <c r="C16" s="56" t="str">
        <f>CONCATENATE("Varme effekt",IF(UnitsNo=1," [W]",IF(UnitsNo=2," [Btu/h]",)))</f>
        <v>Varme effekt [W]</v>
      </c>
      <c r="D16" s="57" t="str">
        <f>CONCATENATE("Vannmengde, varme",IF(UnitsNo=1," [l/h]",IF(UnitsNo=2," [GPM]",)))</f>
        <v>Vannmengde, varme [l/h]</v>
      </c>
      <c r="E16" s="54" t="str">
        <f>"Trykktap ["&amp;IF(UnitsNo=1,"kPa","ftH2O")&amp;"]"</f>
        <v>Trykktap [kPa]</v>
      </c>
      <c r="F16" s="58" t="str">
        <f>CONCATENATE("Kjøling effekt",IF(UnitsNo=1," [W]",IF(UnitsNo=2," [Btu/h]",)))</f>
        <v>Kjøling effekt [W]</v>
      </c>
      <c r="G16" s="57" t="str">
        <f>CONCATENATE("Vannmengde, kjøling",IF(UnitsNo=1," [l/h]",IF(UnitsNo=2," [GPM]",)))</f>
        <v>Vannmengde, kjøling [l/h]</v>
      </c>
      <c r="H16" s="54" t="str">
        <f>E16</f>
        <v>Trykktap [kPa]</v>
      </c>
      <c r="I16" s="48" t="str">
        <f>"Luftmengde"&amp;IF(UnitsNo=1," [m³/h]",IF(UnitsNo=2," [CFM]",))</f>
        <v>Luftmengde [m³/h]</v>
      </c>
      <c r="J16" s="49" t="s">
        <v>98</v>
      </c>
      <c r="K16" s="50" t="s">
        <v>99</v>
      </c>
      <c r="L16" s="12"/>
    </row>
    <row r="17" spans="1:12" s="35" customFormat="1" ht="15" customHeight="1" x14ac:dyDescent="0.25">
      <c r="A17" s="12"/>
      <c r="B17" s="95" t="str">
        <f>CONCATENATE("Clima Beam - "," H",cal!H6," B",cal!M15," Type ",cal!L16)</f>
        <v>Clima Beam -  H15,3 B36 Type 20</v>
      </c>
      <c r="C17" s="96"/>
      <c r="D17" s="96"/>
      <c r="E17" s="96"/>
      <c r="F17" s="96"/>
      <c r="G17" s="96"/>
      <c r="H17" s="96"/>
      <c r="I17" s="97"/>
      <c r="J17" s="97"/>
      <c r="K17" s="98"/>
      <c r="L17" s="12"/>
    </row>
    <row r="18" spans="1:12" s="35" customFormat="1" ht="15" customHeight="1" x14ac:dyDescent="0.25">
      <c r="A18" s="12"/>
      <c r="B18" s="59"/>
      <c r="C18" s="24"/>
      <c r="D18" s="60"/>
      <c r="E18" s="61"/>
      <c r="F18" s="24"/>
      <c r="G18" s="60"/>
      <c r="H18" s="61"/>
      <c r="I18" s="24"/>
      <c r="J18" s="26"/>
      <c r="K18" s="25"/>
      <c r="L18" s="12"/>
    </row>
    <row r="19" spans="1:12" s="1" customFormat="1" ht="15" customHeight="1" x14ac:dyDescent="0.25">
      <c r="A19" s="12"/>
      <c r="B19" s="62"/>
      <c r="C19" s="27"/>
      <c r="D19" s="51"/>
      <c r="E19" s="53"/>
      <c r="F19" s="27"/>
      <c r="G19" s="51"/>
      <c r="H19" s="53"/>
      <c r="I19" s="27"/>
      <c r="J19" s="29"/>
      <c r="K19" s="28"/>
      <c r="L19" s="12"/>
    </row>
    <row r="20" spans="1:12" s="1" customFormat="1" ht="15" customHeight="1" x14ac:dyDescent="0.25">
      <c r="A20" s="12"/>
      <c r="B20" s="62"/>
      <c r="C20" s="27"/>
      <c r="D20" s="51"/>
      <c r="E20" s="53"/>
      <c r="F20" s="27"/>
      <c r="G20" s="51"/>
      <c r="H20" s="53"/>
      <c r="I20" s="27"/>
      <c r="J20" s="29"/>
      <c r="K20" s="28"/>
      <c r="L20" s="12"/>
    </row>
    <row r="21" spans="1:12" s="1" customFormat="1" ht="15" customHeight="1" x14ac:dyDescent="0.25">
      <c r="A21" s="12"/>
      <c r="B21" s="62"/>
      <c r="C21" s="27"/>
      <c r="D21" s="51"/>
      <c r="E21" s="53"/>
      <c r="F21" s="27"/>
      <c r="G21" s="51"/>
      <c r="H21" s="53"/>
      <c r="I21" s="27"/>
      <c r="J21" s="29"/>
      <c r="K21" s="28"/>
      <c r="L21" s="12"/>
    </row>
    <row r="22" spans="1:12" s="1" customFormat="1" ht="15" customHeight="1" x14ac:dyDescent="0.25">
      <c r="A22" s="12"/>
      <c r="B22" s="62"/>
      <c r="C22" s="27"/>
      <c r="D22" s="51"/>
      <c r="E22" s="53"/>
      <c r="F22" s="27"/>
      <c r="G22" s="51"/>
      <c r="H22" s="53"/>
      <c r="I22" s="27"/>
      <c r="J22" s="29"/>
      <c r="K22" s="28"/>
      <c r="L22" s="12"/>
    </row>
    <row r="23" spans="1:12" s="1" customFormat="1" ht="15" customHeight="1" x14ac:dyDescent="0.25">
      <c r="A23" s="12"/>
      <c r="B23" s="62"/>
      <c r="C23" s="27"/>
      <c r="D23" s="51"/>
      <c r="E23" s="53"/>
      <c r="F23" s="27"/>
      <c r="G23" s="51"/>
      <c r="H23" s="53"/>
      <c r="I23" s="27"/>
      <c r="J23" s="29"/>
      <c r="K23" s="28"/>
      <c r="L23" s="12"/>
    </row>
    <row r="24" spans="1:12" s="1" customFormat="1" ht="15" customHeight="1" x14ac:dyDescent="0.25">
      <c r="A24" s="12"/>
      <c r="B24" s="62"/>
      <c r="C24" s="27"/>
      <c r="D24" s="51"/>
      <c r="E24" s="53"/>
      <c r="F24" s="27"/>
      <c r="G24" s="51"/>
      <c r="H24" s="53"/>
      <c r="I24" s="27"/>
      <c r="J24" s="29"/>
      <c r="K24" s="28"/>
      <c r="L24" s="12"/>
    </row>
    <row r="25" spans="1:12" s="1" customFormat="1" ht="15" customHeight="1" x14ac:dyDescent="0.25">
      <c r="A25" s="12"/>
      <c r="B25" s="62"/>
      <c r="C25" s="27"/>
      <c r="D25" s="51"/>
      <c r="E25" s="53"/>
      <c r="F25" s="27"/>
      <c r="G25" s="51"/>
      <c r="H25" s="53"/>
      <c r="I25" s="27"/>
      <c r="J25" s="29"/>
      <c r="K25" s="28"/>
      <c r="L25" s="12"/>
    </row>
    <row r="26" spans="1:12" s="1" customFormat="1" ht="15" customHeight="1" x14ac:dyDescent="0.25">
      <c r="A26" s="12"/>
      <c r="B26" s="62"/>
      <c r="C26" s="27"/>
      <c r="D26" s="51"/>
      <c r="E26" s="53"/>
      <c r="F26" s="27"/>
      <c r="G26" s="51"/>
      <c r="H26" s="53"/>
      <c r="I26" s="27"/>
      <c r="J26" s="29"/>
      <c r="K26" s="28"/>
      <c r="L26" s="12"/>
    </row>
    <row r="27" spans="1:12" s="1" customFormat="1" ht="15" customHeight="1" x14ac:dyDescent="0.25">
      <c r="A27" s="12"/>
      <c r="B27" s="62"/>
      <c r="C27" s="27"/>
      <c r="D27" s="51"/>
      <c r="E27" s="53"/>
      <c r="F27" s="27"/>
      <c r="G27" s="51"/>
      <c r="H27" s="53"/>
      <c r="I27" s="27"/>
      <c r="J27" s="29"/>
      <c r="K27" s="28"/>
      <c r="L27" s="12"/>
    </row>
    <row r="28" spans="1:12" s="1" customFormat="1" ht="15" customHeight="1" x14ac:dyDescent="0.25">
      <c r="A28" s="12"/>
      <c r="B28" s="62"/>
      <c r="C28" s="27"/>
      <c r="D28" s="51"/>
      <c r="E28" s="53"/>
      <c r="F28" s="27"/>
      <c r="G28" s="51"/>
      <c r="H28" s="53"/>
      <c r="I28" s="27"/>
      <c r="J28" s="29"/>
      <c r="K28" s="28"/>
      <c r="L28" s="12"/>
    </row>
    <row r="29" spans="1:12" s="1" customFormat="1" ht="15" customHeight="1" x14ac:dyDescent="0.25">
      <c r="A29" s="12"/>
      <c r="B29" s="63"/>
      <c r="C29" s="30"/>
      <c r="D29" s="52"/>
      <c r="E29" s="64"/>
      <c r="F29" s="30"/>
      <c r="G29" s="52"/>
      <c r="H29" s="64"/>
      <c r="I29" s="30"/>
      <c r="J29" s="32"/>
      <c r="K29" s="31"/>
      <c r="L29" s="12"/>
    </row>
    <row r="30" spans="1:12" s="1" customFormat="1" ht="15" customHeight="1" x14ac:dyDescent="0.25">
      <c r="A30" s="12"/>
      <c r="B30" s="46"/>
      <c r="C30" s="46"/>
      <c r="D30" s="46"/>
      <c r="E30" s="46"/>
      <c r="F30" s="46"/>
      <c r="G30" s="46"/>
      <c r="H30" s="33"/>
      <c r="I30" s="43"/>
      <c r="J30" s="36"/>
      <c r="K30" s="36"/>
      <c r="L30" s="12"/>
    </row>
    <row r="31" spans="1:12" s="1" customFormat="1" ht="16.5" customHeight="1" x14ac:dyDescent="0.25">
      <c r="A31" s="12"/>
      <c r="B31" s="93" t="s">
        <v>121</v>
      </c>
      <c r="C31" s="93"/>
      <c r="D31" s="93"/>
      <c r="E31" s="93"/>
      <c r="F31" s="93"/>
      <c r="G31" s="93"/>
      <c r="H31" s="93"/>
      <c r="I31" s="93"/>
      <c r="J31" s="93"/>
      <c r="K31" s="93"/>
      <c r="L31" s="12"/>
    </row>
    <row r="32" spans="1:12" ht="60.75" customHeight="1" x14ac:dyDescent="0.25">
      <c r="B32" s="93" t="s">
        <v>126</v>
      </c>
      <c r="C32" s="93"/>
      <c r="D32" s="93"/>
      <c r="E32" s="93"/>
      <c r="F32" s="93"/>
      <c r="G32" s="93"/>
      <c r="H32" s="93"/>
      <c r="I32" s="93"/>
      <c r="J32" s="93"/>
      <c r="K32" s="93"/>
    </row>
    <row r="33" spans="1:12" ht="33" customHeight="1" x14ac:dyDescent="0.25">
      <c r="B33" s="92" t="s">
        <v>50</v>
      </c>
      <c r="C33" s="92"/>
      <c r="D33" s="92"/>
      <c r="E33" s="92"/>
      <c r="F33" s="92"/>
      <c r="G33" s="92"/>
      <c r="H33" s="92"/>
      <c r="I33" s="92"/>
      <c r="J33" s="92"/>
      <c r="K33" s="92"/>
    </row>
    <row r="34" spans="1:12" x14ac:dyDescent="0.25">
      <c r="B34" s="47"/>
      <c r="C34" s="47"/>
      <c r="D34" s="47"/>
      <c r="E34" s="47"/>
      <c r="F34" s="47"/>
      <c r="G34" s="47"/>
    </row>
    <row r="35" spans="1:12" x14ac:dyDescent="0.25">
      <c r="B35" s="47"/>
      <c r="C35" s="47"/>
      <c r="D35" s="47"/>
      <c r="E35" s="47"/>
      <c r="F35" s="47"/>
      <c r="G35" s="47"/>
    </row>
    <row r="36" spans="1:12" x14ac:dyDescent="0.25">
      <c r="B36" s="47"/>
      <c r="C36" s="47"/>
      <c r="D36" s="47"/>
      <c r="E36" s="47"/>
      <c r="F36" s="47"/>
      <c r="G36" s="47"/>
    </row>
    <row r="39" spans="1:12" x14ac:dyDescent="0.25">
      <c r="A39" s="69"/>
      <c r="B39" s="69"/>
      <c r="C39" s="69"/>
      <c r="D39" s="69"/>
      <c r="E39" s="69"/>
      <c r="F39" s="69"/>
      <c r="G39" s="69"/>
      <c r="H39" s="69"/>
      <c r="I39" s="69"/>
      <c r="J39" s="69"/>
      <c r="K39" s="69"/>
      <c r="L39" s="69"/>
    </row>
    <row r="40" spans="1:12" ht="15" customHeight="1" x14ac:dyDescent="0.25">
      <c r="A40" s="69"/>
      <c r="B40" s="69"/>
      <c r="C40" s="69"/>
      <c r="D40" s="69"/>
      <c r="E40" s="69"/>
      <c r="F40" s="69"/>
      <c r="G40" s="69"/>
      <c r="H40" s="69"/>
      <c r="I40" s="69"/>
      <c r="J40" s="69"/>
      <c r="K40" s="69"/>
      <c r="L40" s="69"/>
    </row>
  </sheetData>
  <mergeCells count="16">
    <mergeCell ref="B17:K17"/>
    <mergeCell ref="B31:K31"/>
    <mergeCell ref="B32:K32"/>
    <mergeCell ref="B33:K33"/>
    <mergeCell ref="F6:I6"/>
    <mergeCell ref="J6:K6"/>
    <mergeCell ref="F7:I7"/>
    <mergeCell ref="J7:K7"/>
    <mergeCell ref="J10:K10"/>
    <mergeCell ref="J11:K14"/>
    <mergeCell ref="B2:I2"/>
    <mergeCell ref="F4:I4"/>
    <mergeCell ref="J4:K4"/>
    <mergeCell ref="B5:C5"/>
    <mergeCell ref="F5:I5"/>
    <mergeCell ref="J5:K5"/>
  </mergeCells>
  <dataValidations count="2">
    <dataValidation type="whole" errorStyle="information" allowBlank="1" showErrorMessage="1" error="Eingabe außerhalb des gültigen Bereichs." prompt="Eingabe zwischen 16°C bis 30°C" sqref="J11:J13" xr:uid="{00000000-0002-0000-0600-000000000000}">
      <formula1>16</formula1>
      <formula2>30</formula2>
    </dataValidation>
    <dataValidation type="whole" errorStyle="information" allowBlank="1" showErrorMessage="1" error="Eingabe außerhalb des gültigen Bereichs." prompt="20°C bis 35°C" sqref="F11:F13" xr:uid="{00000000-0002-0000-0600-000001000000}">
      <formula1>20</formula1>
      <formula2>35</formula2>
    </dataValidation>
  </dataValidation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Blad10"/>
  <dimension ref="A1:M40"/>
  <sheetViews>
    <sheetView workbookViewId="0">
      <selection activeCell="J6" sqref="J6:K6"/>
    </sheetView>
  </sheetViews>
  <sheetFormatPr defaultRowHeight="15" x14ac:dyDescent="0.25"/>
  <cols>
    <col min="1" max="1" width="2.28515625" style="12" customWidth="1"/>
    <col min="2" max="8" width="9.7109375" style="12" customWidth="1"/>
    <col min="9" max="9" width="6.7109375" style="12" customWidth="1"/>
    <col min="10" max="10" width="10.7109375" style="12" customWidth="1"/>
    <col min="11" max="11" width="5.7109375" style="12" customWidth="1"/>
    <col min="12" max="12" width="2.28515625" style="12" customWidth="1"/>
    <col min="13" max="16384" width="9.140625" style="11"/>
  </cols>
  <sheetData>
    <row r="1" spans="1:13" x14ac:dyDescent="0.25">
      <c r="D1" s="38"/>
      <c r="E1" s="38"/>
      <c r="F1" s="38"/>
      <c r="G1" s="38"/>
    </row>
    <row r="2" spans="1:13" ht="15" customHeight="1" x14ac:dyDescent="0.25">
      <c r="B2" s="113"/>
      <c r="C2" s="114"/>
      <c r="D2" s="114"/>
      <c r="E2" s="114"/>
      <c r="F2" s="114"/>
      <c r="G2" s="114"/>
      <c r="H2" s="114"/>
      <c r="I2" s="115"/>
    </row>
    <row r="4" spans="1:13" s="1" customFormat="1" x14ac:dyDescent="0.25">
      <c r="A4" s="12"/>
      <c r="B4" s="13"/>
      <c r="C4" s="12"/>
      <c r="F4" s="100" t="s">
        <v>56</v>
      </c>
      <c r="G4" s="101"/>
      <c r="H4" s="101"/>
      <c r="I4" s="102"/>
      <c r="J4" s="103"/>
      <c r="K4" s="104"/>
      <c r="L4" s="12"/>
    </row>
    <row r="5" spans="1:13" s="1" customFormat="1" x14ac:dyDescent="0.25">
      <c r="A5" s="12"/>
      <c r="B5" s="94"/>
      <c r="C5" s="94"/>
      <c r="F5" s="100" t="s">
        <v>111</v>
      </c>
      <c r="G5" s="101"/>
      <c r="H5" s="101"/>
      <c r="I5" s="102"/>
      <c r="J5" s="130"/>
      <c r="K5" s="131"/>
      <c r="L5" s="12"/>
      <c r="M5" s="1" t="s">
        <v>112</v>
      </c>
    </row>
    <row r="6" spans="1:13" s="1" customFormat="1" x14ac:dyDescent="0.25">
      <c r="A6" s="12"/>
      <c r="B6" s="13"/>
      <c r="C6" s="12"/>
      <c r="F6" s="100" t="s">
        <v>110</v>
      </c>
      <c r="G6" s="101"/>
      <c r="H6" s="101"/>
      <c r="I6" s="102"/>
      <c r="J6" s="130"/>
      <c r="K6" s="131"/>
      <c r="L6" s="12"/>
      <c r="M6" s="1" t="s">
        <v>113</v>
      </c>
    </row>
    <row r="7" spans="1:13" s="1" customFormat="1" x14ac:dyDescent="0.25">
      <c r="A7" s="12"/>
      <c r="B7" s="14"/>
      <c r="C7" s="12"/>
      <c r="F7" s="100" t="s">
        <v>109</v>
      </c>
      <c r="G7" s="101"/>
      <c r="H7" s="101"/>
      <c r="I7" s="102"/>
      <c r="J7" s="128"/>
      <c r="K7" s="129"/>
      <c r="L7" s="12"/>
    </row>
    <row r="8" spans="1:13" s="1" customFormat="1" ht="6" customHeight="1" x14ac:dyDescent="0.25">
      <c r="A8" s="12"/>
      <c r="B8" s="15"/>
      <c r="C8" s="16"/>
      <c r="D8" s="16"/>
      <c r="E8" s="16"/>
      <c r="F8" s="16"/>
      <c r="G8" s="16"/>
      <c r="H8" s="18"/>
      <c r="I8" s="18"/>
      <c r="J8" s="16"/>
      <c r="K8" s="39"/>
      <c r="L8" s="12"/>
    </row>
    <row r="9" spans="1:13" s="1" customFormat="1" x14ac:dyDescent="0.25">
      <c r="A9" s="12"/>
      <c r="B9" s="17" t="s">
        <v>102</v>
      </c>
      <c r="C9" s="18"/>
      <c r="D9" s="18"/>
      <c r="E9" s="18"/>
      <c r="F9" s="18"/>
      <c r="G9" s="18"/>
      <c r="H9" s="18"/>
      <c r="I9" s="18"/>
      <c r="J9" s="18"/>
      <c r="K9" s="40"/>
      <c r="L9" s="12"/>
      <c r="M9" s="11" t="s">
        <v>164</v>
      </c>
    </row>
    <row r="10" spans="1:13" s="1" customFormat="1" ht="15.75" thickBot="1" x14ac:dyDescent="0.3">
      <c r="A10" s="12"/>
      <c r="B10" s="17" t="s">
        <v>103</v>
      </c>
      <c r="C10" s="19"/>
      <c r="D10" s="18"/>
      <c r="E10" s="18"/>
      <c r="F10" s="19" t="s">
        <v>104</v>
      </c>
      <c r="G10" s="18"/>
      <c r="H10" s="18"/>
      <c r="I10" s="19"/>
      <c r="J10" s="143" t="s">
        <v>108</v>
      </c>
      <c r="K10" s="144"/>
      <c r="L10" s="12"/>
      <c r="M10" s="11" t="s">
        <v>165</v>
      </c>
    </row>
    <row r="11" spans="1:13" s="1" customFormat="1" ht="15.75" thickTop="1" x14ac:dyDescent="0.25">
      <c r="A11" s="12"/>
      <c r="B11" s="41" t="s">
        <v>105</v>
      </c>
      <c r="C11" s="18"/>
      <c r="D11" s="2"/>
      <c r="E11" s="18" t="str">
        <f>IF(UnitsNo=1,"°C",IF(UnitsNo=2,"°F",))</f>
        <v>°C</v>
      </c>
      <c r="F11" s="18" t="str">
        <f>B11</f>
        <v>Agua impulsión</v>
      </c>
      <c r="G11" s="18"/>
      <c r="H11" s="2"/>
      <c r="I11" s="42" t="str">
        <f>E11</f>
        <v>°C</v>
      </c>
      <c r="J11" s="122"/>
      <c r="K11" s="123" t="str">
        <f>E11</f>
        <v>°C</v>
      </c>
      <c r="L11" s="12"/>
      <c r="M11" s="11" t="s">
        <v>166</v>
      </c>
    </row>
    <row r="12" spans="1:13" s="1" customFormat="1" x14ac:dyDescent="0.25">
      <c r="A12" s="12"/>
      <c r="B12" s="41" t="s">
        <v>106</v>
      </c>
      <c r="C12" s="18"/>
      <c r="D12" s="2"/>
      <c r="E12" s="18" t="str">
        <f>E11</f>
        <v>°C</v>
      </c>
      <c r="F12" s="18" t="str">
        <f>B12</f>
        <v>Agua retorno</v>
      </c>
      <c r="G12" s="18"/>
      <c r="H12" s="2"/>
      <c r="I12" s="18" t="str">
        <f>E11</f>
        <v>°C</v>
      </c>
      <c r="J12" s="124"/>
      <c r="K12" s="125" t="str">
        <f>E11</f>
        <v>°C</v>
      </c>
      <c r="L12" s="12"/>
    </row>
    <row r="13" spans="1:13" s="1" customFormat="1" x14ac:dyDescent="0.25">
      <c r="A13" s="12"/>
      <c r="B13" s="41" t="s">
        <v>107</v>
      </c>
      <c r="C13" s="18"/>
      <c r="D13" s="2"/>
      <c r="E13" s="18" t="str">
        <f>E11</f>
        <v>°C</v>
      </c>
      <c r="F13" s="18" t="str">
        <f>B13</f>
        <v>Ambiente</v>
      </c>
      <c r="G13" s="18"/>
      <c r="H13" s="2"/>
      <c r="I13" s="18" t="str">
        <f>E11</f>
        <v>°C</v>
      </c>
      <c r="J13" s="124"/>
      <c r="K13" s="125" t="str">
        <f>E11</f>
        <v>°C</v>
      </c>
      <c r="L13" s="12"/>
    </row>
    <row r="14" spans="1:13" s="1" customFormat="1" ht="14.1" customHeight="1" x14ac:dyDescent="0.25">
      <c r="A14" s="12"/>
      <c r="B14" s="20"/>
      <c r="C14" s="21"/>
      <c r="D14" s="22"/>
      <c r="E14" s="22"/>
      <c r="F14" s="22"/>
      <c r="G14" s="22"/>
      <c r="H14" s="22"/>
      <c r="I14" s="22"/>
      <c r="J14" s="126"/>
      <c r="K14" s="127"/>
      <c r="L14" s="12"/>
    </row>
    <row r="15" spans="1:13" s="1" customFormat="1" ht="6" customHeight="1" x14ac:dyDescent="0.25">
      <c r="A15" s="12"/>
      <c r="B15" s="12"/>
      <c r="C15" s="12"/>
      <c r="D15" s="12"/>
      <c r="E15" s="12"/>
      <c r="F15" s="44"/>
      <c r="G15" s="44"/>
      <c r="H15" s="45"/>
      <c r="I15" s="45"/>
      <c r="J15" s="12"/>
      <c r="K15" s="12"/>
      <c r="L15" s="12"/>
    </row>
    <row r="16" spans="1:13" s="1" customFormat="1" ht="114.95" customHeight="1" x14ac:dyDescent="0.25">
      <c r="A16" s="23"/>
      <c r="B16" s="55" t="str">
        <f>CONCATENATE("Longitud ",IF(UnitsNo=1,"[cm]",IF(UnitsNo=2,"[inch]",)))</f>
        <v>Longitud [cm]</v>
      </c>
      <c r="C16" s="56" t="str">
        <f>CONCATENATE("Emisión calefacción",IF(UnitsNo=1," [W]",IF(UnitsNo=2," [Btu/h]",)))</f>
        <v>Emisión calefacción [W]</v>
      </c>
      <c r="D16" s="57" t="str">
        <f>CONCATENATE("Caudal de agua, calefacción",IF(UnitsNo=1," [l/h]",IF(UnitsNo=2," [GPM]",)))</f>
        <v>Caudal de agua, calefacción [l/h]</v>
      </c>
      <c r="E16" s="54" t="str">
        <f>"Pérdida de carga del agua ["&amp;IF(UnitsNo=1,"kPa","ftH2O")&amp;"]"</f>
        <v>Pérdida de carga del agua [kPa]</v>
      </c>
      <c r="F16" s="58" t="str">
        <f>CONCATENATE("Emisión Frío",IF(UnitsNo=1," [W]",IF(UnitsNo=2," [Btu/h]",)))</f>
        <v>Emisión Frío [W]</v>
      </c>
      <c r="G16" s="57" t="str">
        <f>CONCATENATE("Caudal de agua, Frío",IF(UnitsNo=1," [l/h]",IF(UnitsNo=2," [GPM]",)))</f>
        <v>Caudal de agua, Frío [l/h]</v>
      </c>
      <c r="H16" s="54" t="str">
        <f>E16</f>
        <v>Pérdida de carga del agua [kPa]</v>
      </c>
      <c r="I16" s="48" t="str">
        <f>"Caudal de aire"&amp;IF(UnitsNo=1," [m³/h]",IF(UnitsNo=2," [CFM]",))</f>
        <v>Caudal de aire [m³/h]</v>
      </c>
      <c r="J16" s="49" t="s">
        <v>114</v>
      </c>
      <c r="K16" s="50" t="s">
        <v>115</v>
      </c>
      <c r="L16" s="12"/>
    </row>
    <row r="17" spans="1:12" s="35" customFormat="1" ht="15" customHeight="1" x14ac:dyDescent="0.25">
      <c r="A17" s="12"/>
      <c r="B17" s="95" t="str">
        <f>CONCATENATE("Clima Beam - "," H",cal!H6," B",cal!M15," Type ",cal!L16)</f>
        <v>Clima Beam -  H15,3 B36 Type 20</v>
      </c>
      <c r="C17" s="96"/>
      <c r="D17" s="96"/>
      <c r="E17" s="96"/>
      <c r="F17" s="96"/>
      <c r="G17" s="96"/>
      <c r="H17" s="96"/>
      <c r="I17" s="97"/>
      <c r="J17" s="97"/>
      <c r="K17" s="98"/>
      <c r="L17" s="12"/>
    </row>
    <row r="18" spans="1:12" s="35" customFormat="1" ht="15" customHeight="1" x14ac:dyDescent="0.25">
      <c r="A18" s="12"/>
      <c r="B18" s="59"/>
      <c r="C18" s="24"/>
      <c r="D18" s="60"/>
      <c r="E18" s="61"/>
      <c r="F18" s="24"/>
      <c r="G18" s="60"/>
      <c r="H18" s="61"/>
      <c r="I18" s="24"/>
      <c r="J18" s="26"/>
      <c r="K18" s="25"/>
      <c r="L18" s="12"/>
    </row>
    <row r="19" spans="1:12" s="1" customFormat="1" ht="15" customHeight="1" x14ac:dyDescent="0.25">
      <c r="A19" s="12"/>
      <c r="B19" s="62"/>
      <c r="C19" s="27"/>
      <c r="D19" s="51"/>
      <c r="E19" s="53"/>
      <c r="F19" s="27"/>
      <c r="G19" s="51"/>
      <c r="H19" s="53"/>
      <c r="I19" s="27"/>
      <c r="J19" s="29"/>
      <c r="K19" s="28"/>
      <c r="L19" s="12"/>
    </row>
    <row r="20" spans="1:12" s="1" customFormat="1" ht="15" customHeight="1" x14ac:dyDescent="0.25">
      <c r="A20" s="12"/>
      <c r="B20" s="62"/>
      <c r="C20" s="27"/>
      <c r="D20" s="51"/>
      <c r="E20" s="53"/>
      <c r="F20" s="27"/>
      <c r="G20" s="51"/>
      <c r="H20" s="53"/>
      <c r="I20" s="27"/>
      <c r="J20" s="29"/>
      <c r="K20" s="28"/>
      <c r="L20" s="12"/>
    </row>
    <row r="21" spans="1:12" s="1" customFormat="1" ht="15" customHeight="1" x14ac:dyDescent="0.25">
      <c r="A21" s="12"/>
      <c r="B21" s="62"/>
      <c r="C21" s="27"/>
      <c r="D21" s="51"/>
      <c r="E21" s="53"/>
      <c r="F21" s="27"/>
      <c r="G21" s="51"/>
      <c r="H21" s="53"/>
      <c r="I21" s="27"/>
      <c r="J21" s="29"/>
      <c r="K21" s="28"/>
      <c r="L21" s="12"/>
    </row>
    <row r="22" spans="1:12" s="1" customFormat="1" ht="15" customHeight="1" x14ac:dyDescent="0.25">
      <c r="A22" s="12"/>
      <c r="B22" s="62"/>
      <c r="C22" s="27"/>
      <c r="D22" s="51"/>
      <c r="E22" s="53"/>
      <c r="F22" s="27"/>
      <c r="G22" s="51"/>
      <c r="H22" s="53"/>
      <c r="I22" s="27"/>
      <c r="J22" s="29"/>
      <c r="K22" s="28"/>
      <c r="L22" s="12"/>
    </row>
    <row r="23" spans="1:12" s="1" customFormat="1" ht="15" customHeight="1" x14ac:dyDescent="0.25">
      <c r="A23" s="12"/>
      <c r="B23" s="62"/>
      <c r="C23" s="27"/>
      <c r="D23" s="51"/>
      <c r="E23" s="53"/>
      <c r="F23" s="27"/>
      <c r="G23" s="51"/>
      <c r="H23" s="53"/>
      <c r="I23" s="27"/>
      <c r="J23" s="29"/>
      <c r="K23" s="28"/>
      <c r="L23" s="12"/>
    </row>
    <row r="24" spans="1:12" s="1" customFormat="1" ht="15" customHeight="1" x14ac:dyDescent="0.25">
      <c r="A24" s="12"/>
      <c r="B24" s="62"/>
      <c r="C24" s="27"/>
      <c r="D24" s="51"/>
      <c r="E24" s="53"/>
      <c r="F24" s="27"/>
      <c r="G24" s="51"/>
      <c r="H24" s="53"/>
      <c r="I24" s="27"/>
      <c r="J24" s="29"/>
      <c r="K24" s="28"/>
      <c r="L24" s="12"/>
    </row>
    <row r="25" spans="1:12" s="1" customFormat="1" ht="15" customHeight="1" x14ac:dyDescent="0.25">
      <c r="A25" s="12"/>
      <c r="B25" s="62"/>
      <c r="C25" s="27"/>
      <c r="D25" s="51"/>
      <c r="E25" s="53"/>
      <c r="F25" s="27"/>
      <c r="G25" s="51"/>
      <c r="H25" s="53"/>
      <c r="I25" s="27"/>
      <c r="J25" s="29"/>
      <c r="K25" s="28"/>
      <c r="L25" s="12"/>
    </row>
    <row r="26" spans="1:12" s="1" customFormat="1" ht="15" customHeight="1" x14ac:dyDescent="0.25">
      <c r="A26" s="12"/>
      <c r="B26" s="62"/>
      <c r="C26" s="27"/>
      <c r="D26" s="51"/>
      <c r="E26" s="53"/>
      <c r="F26" s="27"/>
      <c r="G26" s="51"/>
      <c r="H26" s="53"/>
      <c r="I26" s="27"/>
      <c r="J26" s="29"/>
      <c r="K26" s="28"/>
      <c r="L26" s="12"/>
    </row>
    <row r="27" spans="1:12" s="1" customFormat="1" ht="15" customHeight="1" x14ac:dyDescent="0.25">
      <c r="A27" s="12"/>
      <c r="B27" s="62"/>
      <c r="C27" s="27"/>
      <c r="D27" s="51"/>
      <c r="E27" s="53"/>
      <c r="F27" s="27"/>
      <c r="G27" s="51"/>
      <c r="H27" s="53"/>
      <c r="I27" s="27"/>
      <c r="J27" s="29"/>
      <c r="K27" s="28"/>
      <c r="L27" s="12"/>
    </row>
    <row r="28" spans="1:12" s="1" customFormat="1" ht="15" customHeight="1" x14ac:dyDescent="0.25">
      <c r="A28" s="12"/>
      <c r="B28" s="62"/>
      <c r="C28" s="27"/>
      <c r="D28" s="51"/>
      <c r="E28" s="53"/>
      <c r="F28" s="27"/>
      <c r="G28" s="51"/>
      <c r="H28" s="53"/>
      <c r="I28" s="27"/>
      <c r="J28" s="29"/>
      <c r="K28" s="28"/>
      <c r="L28" s="12"/>
    </row>
    <row r="29" spans="1:12" s="1" customFormat="1" ht="15" customHeight="1" x14ac:dyDescent="0.25">
      <c r="A29" s="12"/>
      <c r="B29" s="63"/>
      <c r="C29" s="30"/>
      <c r="D29" s="52"/>
      <c r="E29" s="64"/>
      <c r="F29" s="30"/>
      <c r="G29" s="52"/>
      <c r="H29" s="64"/>
      <c r="I29" s="30"/>
      <c r="J29" s="32"/>
      <c r="K29" s="31"/>
      <c r="L29" s="12"/>
    </row>
    <row r="30" spans="1:12" s="1" customFormat="1" ht="15" customHeight="1" x14ac:dyDescent="0.25">
      <c r="A30" s="12"/>
      <c r="B30" s="46"/>
      <c r="C30" s="46"/>
      <c r="D30" s="46"/>
      <c r="E30" s="46"/>
      <c r="F30" s="46"/>
      <c r="G30" s="46"/>
      <c r="H30" s="33"/>
      <c r="I30" s="43"/>
      <c r="J30" s="36"/>
      <c r="K30" s="36"/>
      <c r="L30" s="12"/>
    </row>
    <row r="31" spans="1:12" s="1" customFormat="1" ht="16.5" customHeight="1" x14ac:dyDescent="0.25">
      <c r="A31" s="12"/>
      <c r="B31" s="93" t="s">
        <v>122</v>
      </c>
      <c r="C31" s="93"/>
      <c r="D31" s="93"/>
      <c r="E31" s="93"/>
      <c r="F31" s="93"/>
      <c r="G31" s="93"/>
      <c r="H31" s="93"/>
      <c r="I31" s="93"/>
      <c r="J31" s="93"/>
      <c r="K31" s="93"/>
      <c r="L31" s="12"/>
    </row>
    <row r="32" spans="1:12" ht="60.75" customHeight="1" x14ac:dyDescent="0.25">
      <c r="B32" s="93" t="s">
        <v>127</v>
      </c>
      <c r="C32" s="93"/>
      <c r="D32" s="93"/>
      <c r="E32" s="93"/>
      <c r="F32" s="93"/>
      <c r="G32" s="93"/>
      <c r="H32" s="93"/>
      <c r="I32" s="93"/>
      <c r="J32" s="93"/>
      <c r="K32" s="93"/>
    </row>
    <row r="33" spans="1:12" ht="33" customHeight="1" x14ac:dyDescent="0.25">
      <c r="B33" s="92" t="s">
        <v>50</v>
      </c>
      <c r="C33" s="92"/>
      <c r="D33" s="92"/>
      <c r="E33" s="92"/>
      <c r="F33" s="92"/>
      <c r="G33" s="92"/>
      <c r="H33" s="92"/>
      <c r="I33" s="92"/>
      <c r="J33" s="92"/>
      <c r="K33" s="92"/>
    </row>
    <row r="34" spans="1:12" x14ac:dyDescent="0.25">
      <c r="B34" s="47"/>
      <c r="C34" s="47"/>
      <c r="D34" s="47"/>
      <c r="E34" s="47"/>
      <c r="F34" s="47"/>
      <c r="G34" s="47"/>
    </row>
    <row r="35" spans="1:12" x14ac:dyDescent="0.25">
      <c r="B35" s="47"/>
      <c r="C35" s="47"/>
      <c r="D35" s="47"/>
      <c r="E35" s="47"/>
      <c r="F35" s="47"/>
      <c r="G35" s="47"/>
    </row>
    <row r="36" spans="1:12" x14ac:dyDescent="0.25">
      <c r="B36" s="47"/>
      <c r="C36" s="47"/>
      <c r="D36" s="47"/>
      <c r="E36" s="47"/>
      <c r="F36" s="47"/>
      <c r="G36" s="47"/>
    </row>
    <row r="39" spans="1:12" x14ac:dyDescent="0.25">
      <c r="A39" s="69"/>
      <c r="B39" s="69"/>
      <c r="C39" s="69"/>
      <c r="D39" s="69"/>
      <c r="E39" s="69"/>
      <c r="F39" s="69"/>
      <c r="G39" s="69"/>
      <c r="H39" s="69"/>
      <c r="I39" s="69"/>
      <c r="J39" s="69"/>
      <c r="K39" s="69"/>
      <c r="L39" s="69"/>
    </row>
    <row r="40" spans="1:12" ht="15" customHeight="1" x14ac:dyDescent="0.25">
      <c r="A40" s="69"/>
      <c r="B40" s="69"/>
      <c r="C40" s="69"/>
      <c r="D40" s="69"/>
      <c r="E40" s="69"/>
      <c r="F40" s="69"/>
      <c r="G40" s="69"/>
      <c r="H40" s="69"/>
      <c r="I40" s="69"/>
      <c r="J40" s="69"/>
      <c r="K40" s="69"/>
      <c r="L40" s="69"/>
    </row>
  </sheetData>
  <mergeCells count="16">
    <mergeCell ref="B17:K17"/>
    <mergeCell ref="B31:K31"/>
    <mergeCell ref="B32:K32"/>
    <mergeCell ref="B33:K33"/>
    <mergeCell ref="F6:I6"/>
    <mergeCell ref="J6:K6"/>
    <mergeCell ref="F7:I7"/>
    <mergeCell ref="J7:K7"/>
    <mergeCell ref="J10:K10"/>
    <mergeCell ref="J11:K14"/>
    <mergeCell ref="B2:I2"/>
    <mergeCell ref="F4:I4"/>
    <mergeCell ref="J4:K4"/>
    <mergeCell ref="B5:C5"/>
    <mergeCell ref="F5:I5"/>
    <mergeCell ref="J5:K5"/>
  </mergeCells>
  <dataValidations count="2">
    <dataValidation type="whole" errorStyle="information" allowBlank="1" showErrorMessage="1" error="Eingabe außerhalb des gültigen Bereichs." prompt="20°C bis 35°C" sqref="F11:F13" xr:uid="{00000000-0002-0000-0700-000000000000}">
      <formula1>20</formula1>
      <formula2>35</formula2>
    </dataValidation>
    <dataValidation type="whole" errorStyle="information" allowBlank="1" showErrorMessage="1" error="Eingabe außerhalb des gültigen Bereichs." prompt="Eingabe zwischen 16°C bis 30°C" sqref="J11:J13" xr:uid="{00000000-0002-0000-0700-000001000000}">
      <formula1>16</formula1>
      <formula2>30</formula2>
    </dataValidation>
  </dataValidation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Blad11"/>
  <dimension ref="A1:M40"/>
  <sheetViews>
    <sheetView workbookViewId="0">
      <selection activeCell="J6" sqref="J6:K6"/>
    </sheetView>
  </sheetViews>
  <sheetFormatPr defaultRowHeight="15" x14ac:dyDescent="0.25"/>
  <cols>
    <col min="1" max="1" width="2.28515625" style="12" customWidth="1"/>
    <col min="2" max="8" width="9.7109375" style="12" customWidth="1"/>
    <col min="9" max="9" width="6.7109375" style="12" customWidth="1"/>
    <col min="10" max="10" width="10.7109375" style="12" customWidth="1"/>
    <col min="11" max="11" width="5.7109375" style="12" customWidth="1"/>
    <col min="12" max="12" width="2.28515625" style="12" customWidth="1"/>
    <col min="13" max="16384" width="9.140625" style="11"/>
  </cols>
  <sheetData>
    <row r="1" spans="1:13" x14ac:dyDescent="0.25">
      <c r="D1" s="38"/>
      <c r="E1" s="38"/>
      <c r="F1" s="38"/>
      <c r="G1" s="38"/>
    </row>
    <row r="2" spans="1:13" ht="15" customHeight="1" x14ac:dyDescent="0.25">
      <c r="B2" s="113"/>
      <c r="C2" s="114"/>
      <c r="D2" s="114"/>
      <c r="E2" s="114"/>
      <c r="F2" s="114"/>
      <c r="G2" s="114"/>
      <c r="H2" s="114"/>
      <c r="I2" s="115"/>
    </row>
    <row r="4" spans="1:13" s="1" customFormat="1" x14ac:dyDescent="0.25">
      <c r="A4" s="12"/>
      <c r="B4" s="13"/>
      <c r="C4" s="12"/>
      <c r="F4" s="100" t="s">
        <v>139</v>
      </c>
      <c r="G4" s="101"/>
      <c r="H4" s="101"/>
      <c r="I4" s="102"/>
      <c r="J4" s="103"/>
      <c r="K4" s="104"/>
      <c r="L4" s="12"/>
    </row>
    <row r="5" spans="1:13" s="1" customFormat="1" x14ac:dyDescent="0.25">
      <c r="A5" s="12"/>
      <c r="B5" s="94"/>
      <c r="C5" s="94"/>
      <c r="F5" s="100" t="s">
        <v>95</v>
      </c>
      <c r="G5" s="101"/>
      <c r="H5" s="101"/>
      <c r="I5" s="102"/>
      <c r="J5" s="130"/>
      <c r="K5" s="131"/>
      <c r="L5" s="12"/>
      <c r="M5" s="1" t="s">
        <v>100</v>
      </c>
    </row>
    <row r="6" spans="1:13" s="1" customFormat="1" x14ac:dyDescent="0.25">
      <c r="A6" s="12"/>
      <c r="B6" s="13"/>
      <c r="C6" s="12"/>
      <c r="F6" s="100" t="s">
        <v>138</v>
      </c>
      <c r="G6" s="101"/>
      <c r="H6" s="101"/>
      <c r="I6" s="102"/>
      <c r="J6" s="130"/>
      <c r="K6" s="131"/>
      <c r="L6" s="12"/>
      <c r="M6" s="1" t="s">
        <v>101</v>
      </c>
    </row>
    <row r="7" spans="1:13" s="1" customFormat="1" x14ac:dyDescent="0.25">
      <c r="A7" s="12"/>
      <c r="B7" s="14"/>
      <c r="C7" s="12"/>
      <c r="F7" s="100" t="s">
        <v>137</v>
      </c>
      <c r="G7" s="101"/>
      <c r="H7" s="101"/>
      <c r="I7" s="102"/>
      <c r="J7" s="128"/>
      <c r="K7" s="129"/>
      <c r="L7" s="12"/>
    </row>
    <row r="8" spans="1:13" s="1" customFormat="1" ht="6" customHeight="1" x14ac:dyDescent="0.25">
      <c r="A8" s="12"/>
      <c r="B8" s="15"/>
      <c r="C8" s="16"/>
      <c r="D8" s="16"/>
      <c r="E8" s="16"/>
      <c r="F8" s="16"/>
      <c r="G8" s="16"/>
      <c r="H8" s="18"/>
      <c r="I8" s="18"/>
      <c r="J8" s="16"/>
      <c r="K8" s="39"/>
      <c r="L8" s="12"/>
    </row>
    <row r="9" spans="1:13" s="1" customFormat="1" x14ac:dyDescent="0.25">
      <c r="A9" s="12"/>
      <c r="B9" s="79" t="s">
        <v>88</v>
      </c>
      <c r="C9" s="18"/>
      <c r="D9" s="18"/>
      <c r="E9" s="18"/>
      <c r="F9" s="18"/>
      <c r="G9" s="18"/>
      <c r="H9" s="18"/>
      <c r="I9" s="18"/>
      <c r="J9" s="18"/>
      <c r="K9" s="40"/>
      <c r="L9" s="12"/>
      <c r="M9" s="11" t="s">
        <v>161</v>
      </c>
    </row>
    <row r="10" spans="1:13" s="1" customFormat="1" ht="15.75" thickBot="1" x14ac:dyDescent="0.3">
      <c r="A10" s="12"/>
      <c r="B10" s="79" t="s">
        <v>132</v>
      </c>
      <c r="C10" s="19"/>
      <c r="D10" s="18"/>
      <c r="E10" s="18"/>
      <c r="F10" s="19" t="s">
        <v>136</v>
      </c>
      <c r="G10" s="18"/>
      <c r="H10" s="18"/>
      <c r="I10" s="19"/>
      <c r="J10" s="143" t="s">
        <v>94</v>
      </c>
      <c r="K10" s="144"/>
      <c r="L10" s="12"/>
      <c r="M10" s="11" t="s">
        <v>162</v>
      </c>
    </row>
    <row r="11" spans="1:13" s="1" customFormat="1" ht="15.75" thickTop="1" x14ac:dyDescent="0.25">
      <c r="A11" s="12"/>
      <c r="B11" s="41" t="s">
        <v>135</v>
      </c>
      <c r="C11" s="18"/>
      <c r="D11" s="2"/>
      <c r="E11" s="18" t="str">
        <f>IF(UnitsNo=1,"°C",IF(UnitsNo=2,"°F",))</f>
        <v>°C</v>
      </c>
      <c r="F11" s="18" t="str">
        <f>B11</f>
        <v>Tillop</v>
      </c>
      <c r="G11" s="18"/>
      <c r="H11" s="2"/>
      <c r="I11" s="42" t="str">
        <f>E11</f>
        <v>°C</v>
      </c>
      <c r="J11" s="122"/>
      <c r="K11" s="123" t="str">
        <f>E11</f>
        <v>°C</v>
      </c>
      <c r="L11" s="12"/>
      <c r="M11" s="11" t="s">
        <v>163</v>
      </c>
    </row>
    <row r="12" spans="1:13" s="1" customFormat="1" x14ac:dyDescent="0.25">
      <c r="A12" s="12"/>
      <c r="B12" s="41" t="s">
        <v>133</v>
      </c>
      <c r="C12" s="18"/>
      <c r="D12" s="2"/>
      <c r="E12" s="18" t="str">
        <f>E11</f>
        <v>°C</v>
      </c>
      <c r="F12" s="18" t="str">
        <f>B12</f>
        <v>Retur</v>
      </c>
      <c r="G12" s="18"/>
      <c r="H12" s="2"/>
      <c r="I12" s="18" t="str">
        <f>E11</f>
        <v>°C</v>
      </c>
      <c r="J12" s="124"/>
      <c r="K12" s="125" t="str">
        <f>E11</f>
        <v>°C</v>
      </c>
      <c r="L12" s="12"/>
    </row>
    <row r="13" spans="1:13" s="1" customFormat="1" x14ac:dyDescent="0.25">
      <c r="A13" s="12"/>
      <c r="B13" s="41" t="s">
        <v>134</v>
      </c>
      <c r="C13" s="18"/>
      <c r="D13" s="2"/>
      <c r="E13" s="18" t="str">
        <f>E11</f>
        <v>°C</v>
      </c>
      <c r="F13" s="18" t="str">
        <f>B13</f>
        <v>Rum (torr)</v>
      </c>
      <c r="G13" s="18"/>
      <c r="H13" s="2"/>
      <c r="I13" s="18" t="str">
        <f>E11</f>
        <v>°C</v>
      </c>
      <c r="J13" s="124"/>
      <c r="K13" s="125" t="str">
        <f>E11</f>
        <v>°C</v>
      </c>
      <c r="L13" s="12"/>
    </row>
    <row r="14" spans="1:13" s="1" customFormat="1" ht="14.1" customHeight="1" x14ac:dyDescent="0.25">
      <c r="A14" s="12"/>
      <c r="B14" s="20"/>
      <c r="C14" s="21"/>
      <c r="D14" s="22"/>
      <c r="E14" s="22"/>
      <c r="F14" s="22"/>
      <c r="G14" s="22"/>
      <c r="H14" s="22"/>
      <c r="I14" s="22"/>
      <c r="J14" s="126"/>
      <c r="K14" s="127"/>
      <c r="L14" s="12"/>
    </row>
    <row r="15" spans="1:13" s="1" customFormat="1" ht="6" customHeight="1" x14ac:dyDescent="0.25">
      <c r="A15" s="12"/>
      <c r="B15" s="12"/>
      <c r="C15" s="12"/>
      <c r="D15" s="12"/>
      <c r="E15" s="12"/>
      <c r="F15" s="44"/>
      <c r="G15" s="44"/>
      <c r="H15" s="45"/>
      <c r="I15" s="45"/>
      <c r="J15" s="12"/>
      <c r="K15" s="12"/>
      <c r="L15" s="12"/>
    </row>
    <row r="16" spans="1:13" s="1" customFormat="1" ht="114.95" customHeight="1" x14ac:dyDescent="0.25">
      <c r="A16" s="23"/>
      <c r="B16" s="55" t="str">
        <f>CONCATENATE("Längd ",IF(UnitsNo=1,"[cm]",IF(UnitsNo=2,"[inch]",)))</f>
        <v>Längd [cm]</v>
      </c>
      <c r="C16" s="56" t="str">
        <f>CONCATENATE("Värme effekt",IF(UnitsNo=1," [W]",IF(UnitsNo=2," [Btu/h]",)))</f>
        <v>Värme effekt [W]</v>
      </c>
      <c r="D16" s="57" t="str">
        <f>CONCATENATE("Vattenflöde, värme",IF(UnitsNo=1," [l/h]",IF(UnitsNo=2," [GPM]",)))</f>
        <v>Vattenflöde, värme [l/h]</v>
      </c>
      <c r="E16" s="54" t="str">
        <f>"Tryckfall, vatten ["&amp;IF(UnitsNo=1,"kPa","ftH2O")&amp;"]"</f>
        <v>Tryckfall, vatten [kPa]</v>
      </c>
      <c r="F16" s="58" t="str">
        <f>CONCATENATE("Märkbar kylkapacitet ",IF(UnitsNo=1," [W]",IF(UnitsNo=2," [Btu/h]",)))</f>
        <v>Märkbar kylkapacitet  [W]</v>
      </c>
      <c r="G16" s="57" t="str">
        <f>CONCATENATE("Vattenflöde, kyla ",IF(UnitsNo=1," [l/h]",IF(UnitsNo=2," [GPM]",)))</f>
        <v>Vattenflöde, kyla  [l/h]</v>
      </c>
      <c r="H16" s="54" t="str">
        <f>E16</f>
        <v>Tryckfall, vatten [kPa]</v>
      </c>
      <c r="I16" s="48" t="str">
        <f>"Luftflöde"&amp;IF(UnitsNo=1," [m³/h]",IF(UnitsNo=2," [CFM]",))</f>
        <v>Luftflöde [m³/h]</v>
      </c>
      <c r="J16" s="49" t="s">
        <v>144</v>
      </c>
      <c r="K16" s="50" t="s">
        <v>145</v>
      </c>
      <c r="L16" s="12"/>
    </row>
    <row r="17" spans="1:12" s="35" customFormat="1" ht="15" customHeight="1" x14ac:dyDescent="0.25">
      <c r="A17" s="12"/>
      <c r="B17" s="95" t="str">
        <f>CONCATENATE("Clima Beam - "," Höjd ",cal!H6," djup ",cal!M15,", typ ",cal!L16)</f>
        <v>Clima Beam -  Höjd 15,3 djup 36, typ 20</v>
      </c>
      <c r="C17" s="96"/>
      <c r="D17" s="96"/>
      <c r="E17" s="96"/>
      <c r="F17" s="96"/>
      <c r="G17" s="96"/>
      <c r="H17" s="96"/>
      <c r="I17" s="97"/>
      <c r="J17" s="97"/>
      <c r="K17" s="98"/>
      <c r="L17" s="12"/>
    </row>
    <row r="18" spans="1:12" s="35" customFormat="1" ht="15" customHeight="1" x14ac:dyDescent="0.25">
      <c r="A18" s="12"/>
      <c r="B18" s="59"/>
      <c r="C18" s="24"/>
      <c r="D18" s="60"/>
      <c r="E18" s="61"/>
      <c r="F18" s="24"/>
      <c r="G18" s="60"/>
      <c r="H18" s="61"/>
      <c r="I18" s="24"/>
      <c r="J18" s="26"/>
      <c r="K18" s="25"/>
      <c r="L18" s="12"/>
    </row>
    <row r="19" spans="1:12" s="1" customFormat="1" ht="15" customHeight="1" x14ac:dyDescent="0.25">
      <c r="A19" s="12"/>
      <c r="B19" s="62"/>
      <c r="C19" s="27"/>
      <c r="D19" s="51"/>
      <c r="E19" s="53"/>
      <c r="F19" s="27"/>
      <c r="G19" s="51"/>
      <c r="H19" s="53"/>
      <c r="I19" s="27"/>
      <c r="J19" s="29"/>
      <c r="K19" s="28"/>
      <c r="L19" s="12"/>
    </row>
    <row r="20" spans="1:12" s="1" customFormat="1" ht="15" customHeight="1" x14ac:dyDescent="0.25">
      <c r="A20" s="12"/>
      <c r="B20" s="62"/>
      <c r="C20" s="27"/>
      <c r="D20" s="51"/>
      <c r="E20" s="53"/>
      <c r="F20" s="27"/>
      <c r="G20" s="51"/>
      <c r="H20" s="53"/>
      <c r="I20" s="27"/>
      <c r="J20" s="29"/>
      <c r="K20" s="28"/>
      <c r="L20" s="12"/>
    </row>
    <row r="21" spans="1:12" s="1" customFormat="1" ht="15" customHeight="1" x14ac:dyDescent="0.25">
      <c r="A21" s="12"/>
      <c r="B21" s="62"/>
      <c r="C21" s="27"/>
      <c r="D21" s="51"/>
      <c r="E21" s="53"/>
      <c r="F21" s="27"/>
      <c r="G21" s="51"/>
      <c r="H21" s="53"/>
      <c r="I21" s="27"/>
      <c r="J21" s="29"/>
      <c r="K21" s="28"/>
      <c r="L21" s="12"/>
    </row>
    <row r="22" spans="1:12" s="1" customFormat="1" ht="15" customHeight="1" x14ac:dyDescent="0.25">
      <c r="A22" s="12"/>
      <c r="B22" s="62"/>
      <c r="C22" s="27"/>
      <c r="D22" s="51"/>
      <c r="E22" s="53"/>
      <c r="F22" s="27"/>
      <c r="G22" s="51"/>
      <c r="H22" s="53"/>
      <c r="I22" s="27"/>
      <c r="J22" s="29"/>
      <c r="K22" s="28"/>
      <c r="L22" s="12"/>
    </row>
    <row r="23" spans="1:12" s="1" customFormat="1" ht="15" customHeight="1" x14ac:dyDescent="0.25">
      <c r="A23" s="12"/>
      <c r="B23" s="62"/>
      <c r="C23" s="27"/>
      <c r="D23" s="51"/>
      <c r="E23" s="53"/>
      <c r="F23" s="27"/>
      <c r="G23" s="51"/>
      <c r="H23" s="53"/>
      <c r="I23" s="27"/>
      <c r="J23" s="29"/>
      <c r="K23" s="28"/>
      <c r="L23" s="12"/>
    </row>
    <row r="24" spans="1:12" s="1" customFormat="1" ht="15" customHeight="1" x14ac:dyDescent="0.25">
      <c r="A24" s="12"/>
      <c r="B24" s="62"/>
      <c r="C24" s="27"/>
      <c r="D24" s="51"/>
      <c r="E24" s="53"/>
      <c r="F24" s="27"/>
      <c r="G24" s="51"/>
      <c r="H24" s="53"/>
      <c r="I24" s="27"/>
      <c r="J24" s="29"/>
      <c r="K24" s="28"/>
      <c r="L24" s="12"/>
    </row>
    <row r="25" spans="1:12" s="1" customFormat="1" ht="15" customHeight="1" x14ac:dyDescent="0.25">
      <c r="A25" s="12"/>
      <c r="B25" s="62"/>
      <c r="C25" s="27"/>
      <c r="D25" s="51"/>
      <c r="E25" s="53"/>
      <c r="F25" s="27"/>
      <c r="G25" s="51"/>
      <c r="H25" s="53"/>
      <c r="I25" s="27"/>
      <c r="J25" s="29"/>
      <c r="K25" s="28"/>
      <c r="L25" s="12"/>
    </row>
    <row r="26" spans="1:12" s="1" customFormat="1" ht="15" customHeight="1" x14ac:dyDescent="0.25">
      <c r="A26" s="12"/>
      <c r="B26" s="62"/>
      <c r="C26" s="27"/>
      <c r="D26" s="51"/>
      <c r="E26" s="53"/>
      <c r="F26" s="27"/>
      <c r="G26" s="51"/>
      <c r="H26" s="53"/>
      <c r="I26" s="27"/>
      <c r="J26" s="29"/>
      <c r="K26" s="28"/>
      <c r="L26" s="12"/>
    </row>
    <row r="27" spans="1:12" s="1" customFormat="1" ht="15" customHeight="1" x14ac:dyDescent="0.25">
      <c r="A27" s="12"/>
      <c r="B27" s="62"/>
      <c r="C27" s="27"/>
      <c r="D27" s="51"/>
      <c r="E27" s="53"/>
      <c r="F27" s="27"/>
      <c r="G27" s="51"/>
      <c r="H27" s="53"/>
      <c r="I27" s="27"/>
      <c r="J27" s="29"/>
      <c r="K27" s="28"/>
      <c r="L27" s="12"/>
    </row>
    <row r="28" spans="1:12" s="1" customFormat="1" ht="15" customHeight="1" x14ac:dyDescent="0.25">
      <c r="A28" s="12"/>
      <c r="B28" s="62"/>
      <c r="C28" s="27"/>
      <c r="D28" s="51"/>
      <c r="E28" s="53"/>
      <c r="F28" s="27"/>
      <c r="G28" s="51"/>
      <c r="H28" s="53"/>
      <c r="I28" s="27"/>
      <c r="J28" s="29"/>
      <c r="K28" s="28"/>
      <c r="L28" s="12"/>
    </row>
    <row r="29" spans="1:12" s="1" customFormat="1" ht="15" customHeight="1" x14ac:dyDescent="0.25">
      <c r="A29" s="12"/>
      <c r="B29" s="63"/>
      <c r="C29" s="30"/>
      <c r="D29" s="52"/>
      <c r="E29" s="64"/>
      <c r="F29" s="30"/>
      <c r="G29" s="52"/>
      <c r="H29" s="64"/>
      <c r="I29" s="30"/>
      <c r="J29" s="32"/>
      <c r="K29" s="31"/>
      <c r="L29" s="12"/>
    </row>
    <row r="30" spans="1:12" s="1" customFormat="1" ht="15" customHeight="1" x14ac:dyDescent="0.25">
      <c r="A30" s="12"/>
      <c r="B30" s="93"/>
      <c r="C30" s="93"/>
      <c r="D30" s="93"/>
      <c r="E30" s="93"/>
      <c r="F30" s="93"/>
      <c r="G30" s="93"/>
      <c r="H30" s="33"/>
      <c r="I30" s="43"/>
      <c r="J30" s="36"/>
      <c r="K30" s="36"/>
      <c r="L30" s="12"/>
    </row>
    <row r="31" spans="1:12" s="1" customFormat="1" ht="16.5" customHeight="1" x14ac:dyDescent="0.25">
      <c r="A31" s="12"/>
      <c r="B31" s="93" t="s">
        <v>143</v>
      </c>
      <c r="C31" s="93"/>
      <c r="D31" s="93"/>
      <c r="E31" s="93"/>
      <c r="F31" s="93"/>
      <c r="G31" s="93"/>
      <c r="H31" s="93"/>
      <c r="I31" s="93"/>
      <c r="J31" s="93"/>
      <c r="K31" s="93"/>
      <c r="L31" s="12"/>
    </row>
    <row r="32" spans="1:12" ht="60.75" customHeight="1" x14ac:dyDescent="0.25">
      <c r="B32" s="93" t="s">
        <v>146</v>
      </c>
      <c r="C32" s="93"/>
      <c r="D32" s="93"/>
      <c r="E32" s="93"/>
      <c r="F32" s="93"/>
      <c r="G32" s="93"/>
      <c r="H32" s="93"/>
      <c r="I32" s="93"/>
      <c r="J32" s="93"/>
      <c r="K32" s="93"/>
    </row>
    <row r="33" spans="1:12" ht="33" customHeight="1" x14ac:dyDescent="0.25">
      <c r="B33" s="92" t="s">
        <v>50</v>
      </c>
      <c r="C33" s="92"/>
      <c r="D33" s="92"/>
      <c r="E33" s="92"/>
      <c r="F33" s="92"/>
      <c r="G33" s="92"/>
      <c r="H33" s="92"/>
      <c r="I33" s="92"/>
      <c r="J33" s="92"/>
      <c r="K33" s="92"/>
    </row>
    <row r="34" spans="1:12" x14ac:dyDescent="0.25">
      <c r="B34" s="47"/>
      <c r="C34" s="47"/>
      <c r="D34" s="47"/>
      <c r="E34" s="47"/>
      <c r="F34" s="47"/>
      <c r="G34" s="47"/>
    </row>
    <row r="35" spans="1:12" x14ac:dyDescent="0.25">
      <c r="B35" s="47"/>
      <c r="C35" s="47"/>
      <c r="D35" s="47"/>
      <c r="E35" s="47"/>
      <c r="F35" s="47"/>
      <c r="G35" s="47"/>
    </row>
    <row r="36" spans="1:12" x14ac:dyDescent="0.25">
      <c r="B36" s="47"/>
      <c r="C36" s="47"/>
      <c r="D36" s="47"/>
      <c r="E36" s="47"/>
      <c r="F36" s="47"/>
      <c r="G36" s="47"/>
    </row>
    <row r="39" spans="1:12" x14ac:dyDescent="0.25">
      <c r="A39" s="69"/>
      <c r="B39" s="69"/>
      <c r="C39" s="69"/>
      <c r="D39" s="69"/>
      <c r="E39" s="69"/>
      <c r="F39" s="69"/>
      <c r="G39" s="69"/>
      <c r="H39" s="69"/>
      <c r="I39" s="69"/>
      <c r="J39" s="69"/>
      <c r="K39" s="69"/>
      <c r="L39" s="69"/>
    </row>
    <row r="40" spans="1:12" ht="15" customHeight="1" x14ac:dyDescent="0.25">
      <c r="A40" s="69"/>
      <c r="B40" s="69"/>
      <c r="C40" s="69"/>
      <c r="D40" s="69"/>
      <c r="E40" s="69"/>
      <c r="F40" s="69"/>
      <c r="G40" s="69"/>
      <c r="H40" s="69"/>
      <c r="I40" s="69"/>
      <c r="J40" s="69"/>
      <c r="K40" s="69"/>
      <c r="L40" s="69"/>
    </row>
  </sheetData>
  <mergeCells count="17">
    <mergeCell ref="B17:K17"/>
    <mergeCell ref="B30:G30"/>
    <mergeCell ref="B31:K31"/>
    <mergeCell ref="B32:K32"/>
    <mergeCell ref="B33:K33"/>
    <mergeCell ref="J11:K14"/>
    <mergeCell ref="B2:I2"/>
    <mergeCell ref="F4:I4"/>
    <mergeCell ref="J4:K4"/>
    <mergeCell ref="B5:C5"/>
    <mergeCell ref="F5:I5"/>
    <mergeCell ref="J5:K5"/>
    <mergeCell ref="F6:I6"/>
    <mergeCell ref="J6:K6"/>
    <mergeCell ref="F7:I7"/>
    <mergeCell ref="J7:K7"/>
    <mergeCell ref="J10:K10"/>
  </mergeCells>
  <dataValidations count="2">
    <dataValidation type="whole" errorStyle="information" allowBlank="1" showErrorMessage="1" error="Eingabe außerhalb des gültigen Bereichs." prompt="Eingabe zwischen 16°C bis 30°C" sqref="J11:J13" xr:uid="{00000000-0002-0000-0800-000000000000}">
      <formula1>16</formula1>
      <formula2>30</formula2>
    </dataValidation>
    <dataValidation type="whole" errorStyle="information" allowBlank="1" showErrorMessage="1" error="Eingabe außerhalb des gültigen Bereichs." prompt="20°C bis 35°C" sqref="F11:F13" xr:uid="{00000000-0002-0000-0800-000001000000}">
      <formula1>20</formula1>
      <formula2>35</formula2>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13</vt:i4>
      </vt:variant>
      <vt:variant>
        <vt:lpstr>Benoemde bereiken</vt:lpstr>
      </vt:variant>
      <vt:variant>
        <vt:i4>1</vt:i4>
      </vt:variant>
    </vt:vector>
  </HeadingPairs>
  <TitlesOfParts>
    <vt:vector size="14" baseType="lpstr">
      <vt:lpstr>Clima Beam</vt:lpstr>
      <vt:lpstr>cal</vt:lpstr>
      <vt:lpstr>NL</vt:lpstr>
      <vt:lpstr>EN</vt:lpstr>
      <vt:lpstr>DE</vt:lpstr>
      <vt:lpstr>FR</vt:lpstr>
      <vt:lpstr>NR</vt:lpstr>
      <vt:lpstr>SP</vt:lpstr>
      <vt:lpstr>SW</vt:lpstr>
      <vt:lpstr>TS</vt:lpstr>
      <vt:lpstr>ExtraTaal1</vt:lpstr>
      <vt:lpstr>ExtraTaal2</vt:lpstr>
      <vt:lpstr>ExtraTaal3</vt:lpstr>
      <vt:lpstr>UnitsNo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Patrick Thomas</dc:creator>
  <cp:lastModifiedBy>Senne Swyns</cp:lastModifiedBy>
  <cp:lastPrinted>2020-07-14T13:15:34Z</cp:lastPrinted>
  <dcterms:created xsi:type="dcterms:W3CDTF">2016-04-18T12:28:50Z</dcterms:created>
  <dcterms:modified xsi:type="dcterms:W3CDTF">2024-03-26T14:05:13Z</dcterms:modified>
</cp:coreProperties>
</file>