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temp\"/>
    </mc:Choice>
  </mc:AlternateContent>
  <workbookProtection workbookAlgorithmName="SHA-512" workbookHashValue="ko2Bz6srQuymGqsriQVqa/kRzkt0AjHQRlQUsQ/YbciGXEB2Z3pDGyvThNmGXTvqAyhSHDtFi0X+BXrRO86Wog==" workbookSaltValue="gtu/ET07YT5kkceP6FCk8w==" workbookSpinCount="100000" lockStructure="1"/>
  <bookViews>
    <workbookView xWindow="0" yWindow="0" windowWidth="23040" windowHeight="9396"/>
  </bookViews>
  <sheets>
    <sheet name="Heizen &amp; Kühlen" sheetId="3" r:id="rId1"/>
    <sheet name="Clima Canal Heizen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3" l="1"/>
  <c r="F36" i="3"/>
  <c r="F37" i="3"/>
  <c r="F38" i="3"/>
  <c r="F34" i="3"/>
  <c r="F29" i="3"/>
  <c r="F30" i="3"/>
  <c r="F31" i="3"/>
  <c r="F32" i="3"/>
  <c r="F28" i="3"/>
  <c r="F19" i="3"/>
  <c r="E34" i="3"/>
  <c r="E35" i="3"/>
  <c r="E36" i="3"/>
  <c r="E37" i="3"/>
  <c r="E38" i="3"/>
  <c r="E32" i="3"/>
  <c r="E31" i="3"/>
  <c r="E30" i="3"/>
  <c r="E29" i="3"/>
  <c r="E28" i="3"/>
  <c r="E26" i="3"/>
  <c r="F26" i="3" s="1"/>
  <c r="E25" i="3"/>
  <c r="F25" i="3" s="1"/>
  <c r="E24" i="3"/>
  <c r="F24" i="3" s="1"/>
  <c r="E23" i="3"/>
  <c r="F23" i="3" s="1"/>
  <c r="E22" i="3"/>
  <c r="F22" i="3" s="1"/>
  <c r="E20" i="3"/>
  <c r="F20" i="3" s="1"/>
  <c r="E19" i="3"/>
  <c r="E18" i="3"/>
  <c r="F18" i="3" s="1"/>
  <c r="E17" i="3"/>
  <c r="F17" i="3" s="1"/>
  <c r="E16" i="3"/>
  <c r="F16" i="3" s="1"/>
  <c r="E14" i="3" l="1"/>
  <c r="F14" i="3"/>
  <c r="C26" i="3" l="1"/>
  <c r="C25" i="3"/>
  <c r="C24" i="3"/>
  <c r="C23" i="3"/>
  <c r="C22" i="3"/>
  <c r="C20" i="3"/>
  <c r="C19" i="3"/>
  <c r="C18" i="3"/>
  <c r="C17" i="3"/>
  <c r="C31" i="3"/>
  <c r="C30" i="3"/>
  <c r="C28" i="3"/>
  <c r="C32" i="3"/>
  <c r="C38" i="3"/>
  <c r="C37" i="3"/>
  <c r="C35" i="3"/>
  <c r="C34" i="3"/>
  <c r="C36" i="3" l="1"/>
  <c r="C29" i="3"/>
  <c r="C16" i="3"/>
  <c r="I38" i="3" l="1"/>
  <c r="G38" i="3"/>
  <c r="D38" i="3"/>
  <c r="I37" i="3"/>
  <c r="G37" i="3"/>
  <c r="D37" i="3"/>
  <c r="I36" i="3"/>
  <c r="G36" i="3"/>
  <c r="D36" i="3"/>
  <c r="I35" i="3"/>
  <c r="G35" i="3"/>
  <c r="D35" i="3"/>
  <c r="I34" i="3"/>
  <c r="G34" i="3"/>
  <c r="D34" i="3"/>
  <c r="I29" i="3"/>
  <c r="I30" i="3"/>
  <c r="I31" i="3"/>
  <c r="I32" i="3"/>
  <c r="I28" i="3"/>
  <c r="I26" i="3" l="1"/>
  <c r="G26" i="3"/>
  <c r="D26" i="3"/>
  <c r="I25" i="3"/>
  <c r="G25" i="3"/>
  <c r="D25" i="3"/>
  <c r="I24" i="3"/>
  <c r="G24" i="3"/>
  <c r="D24" i="3"/>
  <c r="I23" i="3"/>
  <c r="G23" i="3"/>
  <c r="D23" i="3"/>
  <c r="I22" i="3"/>
  <c r="G22" i="3"/>
  <c r="D22" i="3"/>
  <c r="G28" i="3"/>
  <c r="D28" i="3"/>
  <c r="G29" i="3"/>
  <c r="D29" i="3"/>
  <c r="G30" i="3"/>
  <c r="D30" i="3"/>
  <c r="G31" i="3"/>
  <c r="D31" i="3"/>
  <c r="G32" i="3"/>
  <c r="D32" i="3"/>
  <c r="I20" i="3" l="1"/>
  <c r="I19" i="3"/>
  <c r="C14" i="3" l="1"/>
  <c r="I18" i="3" l="1"/>
  <c r="I17" i="3"/>
  <c r="I16" i="3"/>
  <c r="G16" i="3"/>
  <c r="G17" i="3"/>
  <c r="G18" i="3"/>
  <c r="D16" i="3"/>
  <c r="D17" i="3"/>
  <c r="D18" i="3"/>
  <c r="G20" i="3" l="1"/>
  <c r="D20" i="3"/>
  <c r="G19" i="3"/>
  <c r="K20" i="6"/>
  <c r="R35" i="6"/>
  <c r="Q35" i="6"/>
  <c r="P32" i="6"/>
  <c r="P34" i="6"/>
  <c r="P33" i="6"/>
  <c r="P35" i="6"/>
  <c r="O35" i="6"/>
  <c r="L32" i="6"/>
  <c r="L34" i="6"/>
  <c r="L33" i="6"/>
  <c r="L35" i="6"/>
  <c r="M35" i="6"/>
  <c r="N35" i="6"/>
  <c r="K35" i="6"/>
  <c r="M34" i="6"/>
  <c r="N34" i="6"/>
  <c r="M33" i="6"/>
  <c r="N33" i="6"/>
  <c r="M32" i="6"/>
  <c r="N32" i="6"/>
  <c r="R30" i="6"/>
  <c r="Q30" i="6"/>
  <c r="P27" i="6"/>
  <c r="P29" i="6"/>
  <c r="P28" i="6"/>
  <c r="P30" i="6"/>
  <c r="O30" i="6"/>
  <c r="L27" i="6"/>
  <c r="L29" i="6"/>
  <c r="L28" i="6"/>
  <c r="L30" i="6"/>
  <c r="M30" i="6"/>
  <c r="N30" i="6"/>
  <c r="K30" i="6"/>
  <c r="M29" i="6"/>
  <c r="N29" i="6"/>
  <c r="M28" i="6"/>
  <c r="N28" i="6"/>
  <c r="M27" i="6"/>
  <c r="N27" i="6"/>
  <c r="R25" i="6"/>
  <c r="Q25" i="6"/>
  <c r="P22" i="6"/>
  <c r="P24" i="6"/>
  <c r="P23" i="6"/>
  <c r="P25" i="6"/>
  <c r="O25" i="6"/>
  <c r="L22" i="6"/>
  <c r="L24" i="6"/>
  <c r="L23" i="6"/>
  <c r="L25" i="6"/>
  <c r="M25" i="6"/>
  <c r="N25" i="6"/>
  <c r="K25" i="6"/>
  <c r="M24" i="6"/>
  <c r="N24" i="6"/>
  <c r="M23" i="6"/>
  <c r="N23" i="6"/>
  <c r="M22" i="6"/>
  <c r="N22" i="6"/>
  <c r="R20" i="6"/>
  <c r="Q20" i="6"/>
  <c r="P17" i="6"/>
  <c r="P19" i="6"/>
  <c r="P18" i="6"/>
  <c r="P20" i="6"/>
  <c r="O20" i="6"/>
  <c r="L17" i="6"/>
  <c r="L19" i="6"/>
  <c r="L18" i="6"/>
  <c r="L20" i="6"/>
  <c r="M20" i="6"/>
  <c r="N20" i="6"/>
  <c r="M19" i="6"/>
  <c r="N19" i="6"/>
  <c r="M18" i="6"/>
  <c r="N18" i="6"/>
  <c r="M17" i="6"/>
  <c r="N17" i="6"/>
  <c r="L15" i="6"/>
  <c r="D19" i="3"/>
</calcChain>
</file>

<file path=xl/sharedStrings.xml><?xml version="1.0" encoding="utf-8"?>
<sst xmlns="http://schemas.openxmlformats.org/spreadsheetml/2006/main" count="72" uniqueCount="42">
  <si>
    <t>Vorlauftemp. [°C]</t>
  </si>
  <si>
    <t>Raumtemp. [°C]</t>
  </si>
  <si>
    <t>Drehzahlstufe:</t>
  </si>
  <si>
    <t>Regelspannung: [V]</t>
  </si>
  <si>
    <t>Schalldruckpegel* [dB(A)]</t>
  </si>
  <si>
    <t>Schallleistungs-pegel [dB(A)]</t>
  </si>
  <si>
    <t>Luftvolumenstrom [m³/h]</t>
  </si>
  <si>
    <t>Heizmittelstrom [l/h]</t>
  </si>
  <si>
    <t>Heizen:</t>
  </si>
  <si>
    <t>Kühlmittelstrom [l/h]</t>
  </si>
  <si>
    <t>Min.</t>
  </si>
  <si>
    <t>Med.</t>
  </si>
  <si>
    <t>Max.</t>
  </si>
  <si>
    <t>zug. Wassers. Druckverlust [kPa]</t>
  </si>
  <si>
    <t>Rücklauftemp. [°C]</t>
  </si>
  <si>
    <t>Eingabefelder</t>
  </si>
  <si>
    <t>Temperaturen</t>
  </si>
  <si>
    <t>Auslegungsrandbedingungen</t>
  </si>
  <si>
    <t>Spezifische Lüfterdrehzahl [%]</t>
  </si>
  <si>
    <t xml:space="preserve"> (Spez.)</t>
  </si>
  <si>
    <t>Spez.**</t>
  </si>
  <si>
    <t>*Messhöhe 1m, im Abstand von 2m (8dB(A) Dämpfung)</t>
  </si>
  <si>
    <t>Kühlen:</t>
  </si>
  <si>
    <t>**Die Werte für eine spezifische Lüfterdrehzahl (Spez.) sind linear Interpoliert zwischen den Werten Min.,Med. und Max.</t>
  </si>
  <si>
    <t>Leistungsaufnahme [W]</t>
  </si>
  <si>
    <t>Clima Canal Höhe 8,5cm Breite 18cm  Länge 72.3cm (Typ 1) 6,4kg</t>
  </si>
  <si>
    <t>Clima Canal Höhe 8,5cm Breite 18cm Länge 108.3cm (Typ 2) 10,1kg</t>
  </si>
  <si>
    <t>Clima Canal Höhe 8,5cm Breite 18cm Länge 144.3cm (Typ 3) 14,4kg</t>
  </si>
  <si>
    <t>Clima Canal Höhe 8,5cm Breite 18cm Länge 180.3cm (Typ 4) 18,8kg</t>
  </si>
  <si>
    <t>2-Leiter</t>
  </si>
  <si>
    <t>System:</t>
  </si>
  <si>
    <t>*Leistungsangaben nach DIN EN 16430:2015</t>
  </si>
  <si>
    <t>**Schallleistungspegel nach ISO 3741:2010</t>
  </si>
  <si>
    <t>***Schalldruckpegel bei angenommener Raumdämpfung von 8dB(A)</t>
  </si>
  <si>
    <t>Schallleistungspegel** [dB(A)]</t>
  </si>
  <si>
    <t>Schalldruckpegel *** [dB(A)]</t>
  </si>
  <si>
    <t>Clima Canal (2-Leiter) Höhe 19 Breite 34 Typ 1 Länge 105</t>
  </si>
  <si>
    <t>Clima Canal (2-Leiter) Höhe 19 Breite 34 Typ 3 Länge 200</t>
  </si>
  <si>
    <t>Clima Canal (2-Leiter) Höhe 19 Breite 34 Typ 4 Länge 280</t>
  </si>
  <si>
    <t>Clima Canal (2-Leiter) Höhe 19 Breite 34 Typ 2 Länge 120</t>
  </si>
  <si>
    <t>n-value</t>
  </si>
  <si>
    <t>v22-06-2017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</si>
</sst>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10" xfId="0" applyNumberFormat="1" applyFont="1" applyFill="1" applyBorder="1"/>
    <xf numFmtId="0" fontId="9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7" fillId="2" borderId="0" xfId="0" applyFont="1" applyFill="1" applyBorder="1"/>
    <xf numFmtId="0" fontId="10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9" fillId="4" borderId="1" xfId="0" applyFont="1" applyFill="1" applyBorder="1" applyAlignment="1" applyProtection="1">
      <alignment horizontal="left"/>
    </xf>
    <xf numFmtId="49" fontId="8" fillId="4" borderId="10" xfId="0" applyNumberFormat="1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7" fillId="2" borderId="0" xfId="0" applyFont="1" applyFill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0" fillId="3" borderId="0" xfId="0" applyFill="1" applyBorder="1" applyAlignment="1" applyProtection="1">
      <alignment horizontal="center"/>
    </xf>
    <xf numFmtId="0" fontId="0" fillId="3" borderId="5" xfId="0" applyFill="1" applyBorder="1" applyProtection="1"/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Protection="1"/>
    <xf numFmtId="0" fontId="0" fillId="3" borderId="9" xfId="0" applyFill="1" applyBorder="1" applyProtection="1"/>
    <xf numFmtId="0" fontId="0" fillId="2" borderId="8" xfId="0" applyFill="1" applyBorder="1" applyProtection="1"/>
    <xf numFmtId="0" fontId="1" fillId="3" borderId="2" xfId="0" applyFont="1" applyFill="1" applyBorder="1" applyAlignment="1" applyProtection="1">
      <alignment horizontal="center" vertical="center" textRotation="90" wrapText="1"/>
    </xf>
    <xf numFmtId="0" fontId="1" fillId="3" borderId="0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0" fillId="2" borderId="0" xfId="0" applyFill="1" applyAlignment="1" applyProtection="1">
      <alignment horizontal="center" vertical="center" wrapText="1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2" borderId="5" xfId="0" applyFont="1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1" fontId="0" fillId="2" borderId="5" xfId="0" applyNumberFormat="1" applyFont="1" applyFill="1" applyBorder="1" applyAlignment="1" applyProtection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7" fillId="2" borderId="11" xfId="0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1" fontId="7" fillId="2" borderId="11" xfId="0" applyNumberFormat="1" applyFont="1" applyFill="1" applyBorder="1" applyAlignment="1" applyProtection="1">
      <alignment horizontal="center" vertical="center"/>
    </xf>
    <xf numFmtId="1" fontId="7" fillId="2" borderId="13" xfId="0" applyNumberFormat="1" applyFont="1" applyFill="1" applyBorder="1" applyAlignment="1" applyProtection="1">
      <alignment horizontal="center" vertical="center"/>
    </xf>
    <xf numFmtId="2" fontId="7" fillId="2" borderId="12" xfId="0" applyNumberFormat="1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18" xfId="0" applyFont="1" applyFill="1" applyBorder="1" applyAlignment="1" applyProtection="1">
      <alignment horizontal="center" vertical="center" textRotation="90" wrapText="1"/>
    </xf>
    <xf numFmtId="0" fontId="0" fillId="2" borderId="3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2" xfId="0" applyFont="1" applyFill="1" applyBorder="1" applyProtection="1"/>
    <xf numFmtId="1" fontId="1" fillId="2" borderId="0" xfId="0" applyNumberFormat="1" applyFont="1" applyFill="1" applyBorder="1" applyAlignment="1" applyProtection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</xf>
    <xf numFmtId="2" fontId="0" fillId="2" borderId="9" xfId="0" applyNumberFormat="1" applyFon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horizontal="center" vertical="center"/>
    </xf>
    <xf numFmtId="1" fontId="0" fillId="2" borderId="3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 textRotation="90" wrapText="1"/>
    </xf>
    <xf numFmtId="9" fontId="0" fillId="2" borderId="5" xfId="0" applyNumberFormat="1" applyFill="1" applyBorder="1"/>
    <xf numFmtId="0" fontId="11" fillId="2" borderId="6" xfId="0" applyFont="1" applyFill="1" applyBorder="1" applyAlignment="1">
      <alignment horizontal="center" vertical="center"/>
    </xf>
    <xf numFmtId="9" fontId="0" fillId="2" borderId="19" xfId="0" applyNumberFormat="1" applyFill="1" applyBorder="1"/>
    <xf numFmtId="0" fontId="0" fillId="2" borderId="20" xfId="0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0" fillId="3" borderId="0" xfId="0" applyFill="1" applyBorder="1" applyAlignment="1"/>
    <xf numFmtId="1" fontId="0" fillId="2" borderId="6" xfId="0" applyNumberForma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64" fontId="11" fillId="2" borderId="1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17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2" fillId="2" borderId="0" xfId="0" applyFont="1" applyFill="1" applyBorder="1" applyAlignment="1">
      <alignment horizontal="right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67"/>
  <sheetViews>
    <sheetView tabSelected="1" zoomScale="85" zoomScaleNormal="85" workbookViewId="0">
      <selection activeCell="D8" sqref="D8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11" width="7" style="1" customWidth="1"/>
    <col min="12" max="12" width="2" style="1" customWidth="1"/>
    <col min="13" max="16384" width="11.44140625" style="1" hidden="1"/>
  </cols>
  <sheetData>
    <row r="1" spans="1:14" s="3" customFormat="1" x14ac:dyDescent="0.3">
      <c r="A1" s="19"/>
    </row>
    <row r="2" spans="1:14" s="3" customFormat="1" hidden="1" x14ac:dyDescent="0.3">
      <c r="A2" s="21" t="s">
        <v>15</v>
      </c>
      <c r="B2" s="20"/>
    </row>
    <row r="3" spans="1:14" s="3" customFormat="1" x14ac:dyDescent="0.3">
      <c r="A3" s="19"/>
    </row>
    <row r="4" spans="1:14" s="3" customFormat="1" x14ac:dyDescent="0.3">
      <c r="A4" s="26" t="s">
        <v>17</v>
      </c>
    </row>
    <row r="5" spans="1:14" s="3" customFormat="1" ht="6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4" x14ac:dyDescent="0.3">
      <c r="A6" s="12" t="s">
        <v>16</v>
      </c>
      <c r="B6" s="7"/>
      <c r="C6" s="7"/>
      <c r="D6" s="7"/>
      <c r="E6" s="7"/>
      <c r="F6" s="7"/>
      <c r="G6" s="7"/>
      <c r="H6" s="7"/>
      <c r="I6" s="7"/>
      <c r="J6" s="7"/>
      <c r="K6" s="13"/>
    </row>
    <row r="7" spans="1:14" x14ac:dyDescent="0.3">
      <c r="A7" s="12" t="s">
        <v>8</v>
      </c>
      <c r="B7" s="7"/>
      <c r="C7" s="7"/>
      <c r="D7" s="7"/>
      <c r="E7" s="8"/>
      <c r="F7" s="8" t="s">
        <v>22</v>
      </c>
      <c r="G7" s="8"/>
      <c r="H7" s="7"/>
      <c r="I7" s="7"/>
      <c r="J7" s="27"/>
      <c r="K7" s="13"/>
    </row>
    <row r="8" spans="1:14" x14ac:dyDescent="0.3">
      <c r="A8" s="120" t="s">
        <v>0</v>
      </c>
      <c r="B8" s="121"/>
      <c r="C8" s="121"/>
      <c r="D8" s="28">
        <v>75</v>
      </c>
      <c r="E8" s="110"/>
      <c r="F8" s="110" t="s">
        <v>0</v>
      </c>
      <c r="G8" s="110"/>
      <c r="H8" s="7"/>
      <c r="I8" s="28">
        <v>7</v>
      </c>
      <c r="J8" s="7"/>
      <c r="K8" s="13"/>
    </row>
    <row r="9" spans="1:14" x14ac:dyDescent="0.3">
      <c r="A9" s="120" t="s">
        <v>14</v>
      </c>
      <c r="B9" s="121"/>
      <c r="C9" s="121"/>
      <c r="D9" s="28">
        <v>65</v>
      </c>
      <c r="E9" s="110"/>
      <c r="F9" s="110" t="s">
        <v>14</v>
      </c>
      <c r="G9" s="110"/>
      <c r="H9" s="7"/>
      <c r="I9" s="28">
        <v>12</v>
      </c>
      <c r="J9" s="7"/>
      <c r="K9" s="13"/>
    </row>
    <row r="10" spans="1:14" x14ac:dyDescent="0.3">
      <c r="A10" s="120" t="s">
        <v>1</v>
      </c>
      <c r="B10" s="121"/>
      <c r="C10" s="121"/>
      <c r="D10" s="28">
        <v>20</v>
      </c>
      <c r="E10" s="110"/>
      <c r="F10" s="110" t="s">
        <v>1</v>
      </c>
      <c r="G10" s="110"/>
      <c r="H10" s="7"/>
      <c r="I10" s="28">
        <v>27</v>
      </c>
      <c r="J10" s="7"/>
      <c r="K10" s="13"/>
    </row>
    <row r="11" spans="1:14" x14ac:dyDescent="0.3">
      <c r="A11" s="120"/>
      <c r="B11" s="121"/>
      <c r="C11" s="121"/>
      <c r="D11" s="110"/>
      <c r="E11" s="110"/>
      <c r="F11" s="110"/>
      <c r="G11" s="110"/>
      <c r="H11" s="7"/>
      <c r="I11" s="131">
        <v>0.5</v>
      </c>
      <c r="J11" s="7"/>
      <c r="K11" s="13"/>
    </row>
    <row r="12" spans="1:14" ht="6" customHeight="1" x14ac:dyDescent="0.3">
      <c r="A12" s="14"/>
      <c r="B12" s="15"/>
      <c r="C12" s="15"/>
      <c r="D12" s="15"/>
      <c r="E12" s="16"/>
      <c r="F12" s="16"/>
      <c r="G12" s="16"/>
      <c r="H12" s="16"/>
      <c r="I12" s="16"/>
      <c r="J12" s="16"/>
      <c r="K12" s="17"/>
    </row>
    <row r="13" spans="1:14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4" s="2" customFormat="1" ht="95.4" customHeight="1" x14ac:dyDescent="0.3">
      <c r="A14" s="24" t="s">
        <v>2</v>
      </c>
      <c r="B14" s="18" t="s">
        <v>3</v>
      </c>
      <c r="C14" s="24" t="str">
        <f>CONCATENATE("Wärmeleistung* ",D8,"/",D9,"/",D10," [W]")</f>
        <v>Wärmeleistung* 75/65/20 [W]</v>
      </c>
      <c r="D14" s="86" t="s">
        <v>7</v>
      </c>
      <c r="E14" s="18" t="str">
        <f>CONCATENATE("sens. Kälteleistung* ",I8,"/",I9,"/",I10," [W]")</f>
        <v>sens. Kälteleistung* 7/12/27 [W]</v>
      </c>
      <c r="F14" s="18" t="str">
        <f>CONCATENATE("tot. Kälteleistung* ",I8,"/",I9,"/",I10," [W]")</f>
        <v>tot. Kälteleistung* 7/12/27 [W]</v>
      </c>
      <c r="G14" s="18" t="s">
        <v>9</v>
      </c>
      <c r="H14" s="24" t="s">
        <v>35</v>
      </c>
      <c r="I14" s="87" t="s">
        <v>34</v>
      </c>
      <c r="J14" s="18" t="s">
        <v>24</v>
      </c>
      <c r="K14" s="23" t="s">
        <v>6</v>
      </c>
    </row>
    <row r="15" spans="1:14" ht="18" customHeight="1" x14ac:dyDescent="0.3">
      <c r="A15" s="115" t="s">
        <v>36</v>
      </c>
      <c r="B15" s="116"/>
      <c r="C15" s="115"/>
      <c r="D15" s="117"/>
      <c r="E15" s="116"/>
      <c r="F15" s="116"/>
      <c r="G15" s="116"/>
      <c r="H15" s="115"/>
      <c r="I15" s="116"/>
      <c r="J15" s="116"/>
      <c r="K15" s="117"/>
      <c r="N15" s="132" t="s">
        <v>40</v>
      </c>
    </row>
    <row r="16" spans="1:14" x14ac:dyDescent="0.3">
      <c r="A16" s="103">
        <v>1</v>
      </c>
      <c r="B16" s="4">
        <v>10</v>
      </c>
      <c r="C16" s="25">
        <f>3233*(($D$8+$D$9)/2-$D$10)/50</f>
        <v>3233</v>
      </c>
      <c r="D16" s="5">
        <f>C16/(($D$8-$D$9)*1.163)</f>
        <v>277.98796216680995</v>
      </c>
      <c r="E16" s="5">
        <f>761*(($I$10-(($I$8+$I$9)/2))/10)^N16</f>
        <v>1266.3369555120382</v>
      </c>
      <c r="F16" s="5">
        <f>$E16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16+0.00625)*($I$10-($I$8+$I$9)/2)-(-0.000625*$B16+0.00625)*10)))</f>
        <v>1860.6074103114202</v>
      </c>
      <c r="G16" s="5">
        <f>F16/(($I$9-$I$8)*1.163)</f>
        <v>319.96688053506796</v>
      </c>
      <c r="H16" s="25">
        <v>40</v>
      </c>
      <c r="I16" s="111">
        <f>H16+8</f>
        <v>48</v>
      </c>
      <c r="J16" s="112">
        <v>15</v>
      </c>
      <c r="K16" s="104">
        <v>351</v>
      </c>
      <c r="N16" s="132">
        <v>0.91</v>
      </c>
    </row>
    <row r="17" spans="1:14" x14ac:dyDescent="0.3">
      <c r="A17" s="103">
        <v>0.8</v>
      </c>
      <c r="B17" s="4">
        <v>8</v>
      </c>
      <c r="C17" s="25">
        <f>2792*(($D$8+$D$9)/2-$D$10)/50</f>
        <v>2792</v>
      </c>
      <c r="D17" s="5">
        <f>C17/(($D$8-$D$9)*1.163)</f>
        <v>240.0687876182287</v>
      </c>
      <c r="E17" s="5">
        <f>612*(($I$10-(($I$8+$I$9)/2))/10)^N17</f>
        <v>1012.711323381985</v>
      </c>
      <c r="F17" s="5">
        <f t="shared" ref="F17:F20" si="0">$E17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17+0.00625)*($I$10-($I$8+$I$9)/2)-(-0.000625*$B17+0.00625)*10)))</f>
        <v>1508.7417773799739</v>
      </c>
      <c r="G17" s="5">
        <f>F17/(($I$9-$I$8)*1.163)</f>
        <v>259.45688347033081</v>
      </c>
      <c r="H17" s="25">
        <v>35</v>
      </c>
      <c r="I17" s="111">
        <f>H17+8</f>
        <v>43</v>
      </c>
      <c r="J17" s="112">
        <v>9.3000000000000007</v>
      </c>
      <c r="K17" s="104">
        <v>309</v>
      </c>
      <c r="N17" s="132">
        <v>0.9</v>
      </c>
    </row>
    <row r="18" spans="1:14" x14ac:dyDescent="0.3">
      <c r="A18" s="103">
        <v>0.6</v>
      </c>
      <c r="B18" s="4">
        <v>6</v>
      </c>
      <c r="C18" s="25">
        <f>2395*(($D$8+$D$9)/2-$D$10)/50</f>
        <v>2395</v>
      </c>
      <c r="D18" s="5">
        <f>C18/(($D$8-$D$9)*1.163)</f>
        <v>205.93293207222698</v>
      </c>
      <c r="E18" s="5">
        <f>463*(($I$10-(($I$8+$I$9)/2))/10)^N18</f>
        <v>757.62530850341489</v>
      </c>
      <c r="F18" s="5">
        <f t="shared" si="0"/>
        <v>1144.7014614388825</v>
      </c>
      <c r="G18" s="5">
        <f>F18/(($I$9-$I$8)*1.163)</f>
        <v>196.85321778828589</v>
      </c>
      <c r="H18" s="25">
        <v>27</v>
      </c>
      <c r="I18" s="111">
        <f>H18+8</f>
        <v>35</v>
      </c>
      <c r="J18" s="112">
        <v>4.8</v>
      </c>
      <c r="K18" s="104">
        <v>236</v>
      </c>
      <c r="N18" s="132">
        <v>0.88</v>
      </c>
    </row>
    <row r="19" spans="1:14" x14ac:dyDescent="0.3">
      <c r="A19" s="103">
        <v>0.4</v>
      </c>
      <c r="B19" s="4">
        <v>4</v>
      </c>
      <c r="C19" s="25">
        <f>1703*(($D$8+$D$9)/2-$D$10)/50</f>
        <v>1703</v>
      </c>
      <c r="D19" s="5">
        <f>C19/(($D$8-$D$9)*1.163)</f>
        <v>146.43164230438521</v>
      </c>
      <c r="E19" s="5">
        <f>310*(($I$10-(($I$8+$I$9)/2))/10)^N19</f>
        <v>507.26532534785883</v>
      </c>
      <c r="F19" s="5">
        <f t="shared" si="0"/>
        <v>777.44307409430178</v>
      </c>
      <c r="G19" s="5">
        <f>F19/(($I$9-$I$8)*1.163)</f>
        <v>133.69614343840098</v>
      </c>
      <c r="H19" s="25">
        <v>21</v>
      </c>
      <c r="I19" s="111">
        <f>H19+8</f>
        <v>29</v>
      </c>
      <c r="J19" s="112">
        <v>2.7</v>
      </c>
      <c r="K19" s="104">
        <v>167</v>
      </c>
      <c r="N19" s="132">
        <v>0.88</v>
      </c>
    </row>
    <row r="20" spans="1:14" x14ac:dyDescent="0.3">
      <c r="A20" s="103">
        <v>0.2</v>
      </c>
      <c r="B20" s="4">
        <v>2</v>
      </c>
      <c r="C20" s="25">
        <f>1079*(($D$8+$D$9)/2-$D$10)/50</f>
        <v>1079</v>
      </c>
      <c r="D20" s="5">
        <f>C20/(($D$8-$D$9)*1.163)</f>
        <v>92.777300085984521</v>
      </c>
      <c r="E20" s="5">
        <f>158*(($I$10-(($I$8+$I$9)/2))/10)^N20</f>
        <v>258.54168195148935</v>
      </c>
      <c r="F20" s="5">
        <f t="shared" si="0"/>
        <v>402.02153658650877</v>
      </c>
      <c r="G20" s="5">
        <f>F20/(($I$9-$I$8)*1.163)</f>
        <v>69.135259946089207</v>
      </c>
      <c r="H20" s="25">
        <v>17</v>
      </c>
      <c r="I20" s="111">
        <f>H20+8</f>
        <v>25</v>
      </c>
      <c r="J20" s="112">
        <v>1.5</v>
      </c>
      <c r="K20" s="104">
        <v>97</v>
      </c>
      <c r="N20" s="132">
        <v>0.88</v>
      </c>
    </row>
    <row r="21" spans="1:14" ht="16.95" customHeight="1" x14ac:dyDescent="0.3">
      <c r="A21" s="115" t="s">
        <v>39</v>
      </c>
      <c r="B21" s="116"/>
      <c r="C21" s="115"/>
      <c r="D21" s="117"/>
      <c r="E21" s="116"/>
      <c r="F21" s="116"/>
      <c r="G21" s="116"/>
      <c r="H21" s="115"/>
      <c r="I21" s="116"/>
      <c r="J21" s="116"/>
      <c r="K21" s="117"/>
      <c r="N21" s="132" t="s">
        <v>40</v>
      </c>
    </row>
    <row r="22" spans="1:14" x14ac:dyDescent="0.3">
      <c r="A22" s="103">
        <v>1</v>
      </c>
      <c r="B22" s="4">
        <v>10</v>
      </c>
      <c r="C22" s="25">
        <f>3869*(($D$8+$D$9)/2-$D$10)/50</f>
        <v>3869</v>
      </c>
      <c r="D22" s="5">
        <f>C22/(($D$8-$D$9)*1.163)</f>
        <v>332.67411865864142</v>
      </c>
      <c r="E22" s="5">
        <f>942*(($I$10-(($I$8+$I$9)/2))/10)^N22</f>
        <v>1567.5287938138504</v>
      </c>
      <c r="F22" s="5">
        <f>$E22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22+0.00625)*($I$10-($I$8+$I$9)/2)-(-0.000625*$B22+0.00625)*10)))</f>
        <v>2303.1434697941627</v>
      </c>
      <c r="G22" s="5">
        <f>F22/(($I$9-$I$8)*1.163)</f>
        <v>396.0693843154192</v>
      </c>
      <c r="H22" s="25">
        <v>41</v>
      </c>
      <c r="I22" s="111">
        <f>H22+8</f>
        <v>49</v>
      </c>
      <c r="J22" s="112">
        <v>24</v>
      </c>
      <c r="K22" s="104">
        <v>401</v>
      </c>
      <c r="N22" s="132">
        <v>0.91</v>
      </c>
    </row>
    <row r="23" spans="1:14" x14ac:dyDescent="0.3">
      <c r="A23" s="103">
        <v>0.8</v>
      </c>
      <c r="B23" s="4">
        <v>8</v>
      </c>
      <c r="C23" s="25">
        <f>3470*(($D$8+$D$9)/2-$D$10)/50</f>
        <v>3470</v>
      </c>
      <c r="D23" s="5">
        <f>C23/(($D$8-$D$9)*1.163)</f>
        <v>298.36629406706788</v>
      </c>
      <c r="E23" s="5">
        <f>756*(($I$10-(($I$8+$I$9)/2))/10)^N23</f>
        <v>1250.9963406483344</v>
      </c>
      <c r="F23" s="5">
        <f t="shared" ref="F23:F26" si="1">$E23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23+0.00625)*($I$10-($I$8+$I$9)/2)-(-0.000625*$B23+0.00625)*10)))</f>
        <v>1863.7398426458501</v>
      </c>
      <c r="G23" s="5">
        <f>F23/(($I$9-$I$8)*1.163)</f>
        <v>320.50556193393811</v>
      </c>
      <c r="H23" s="25">
        <v>36</v>
      </c>
      <c r="I23" s="111">
        <f>H23+8</f>
        <v>44</v>
      </c>
      <c r="J23" s="112">
        <v>18.399999999999999</v>
      </c>
      <c r="K23" s="104">
        <v>351</v>
      </c>
      <c r="N23" s="132">
        <v>0.9</v>
      </c>
    </row>
    <row r="24" spans="1:14" x14ac:dyDescent="0.3">
      <c r="A24" s="103">
        <v>0.6</v>
      </c>
      <c r="B24" s="4">
        <v>6</v>
      </c>
      <c r="C24" s="25">
        <f>2764*(($D$8+$D$9)/2-$D$10)/50</f>
        <v>2764</v>
      </c>
      <c r="D24" s="5">
        <f>C24/(($D$8-$D$9)*1.163)</f>
        <v>237.66122098022353</v>
      </c>
      <c r="E24" s="5">
        <f>575*(($I$10-(($I$8+$I$9)/2))/10)^N24</f>
        <v>940.8953615323187</v>
      </c>
      <c r="F24" s="5">
        <f t="shared" si="1"/>
        <v>1421.6054866681584</v>
      </c>
      <c r="G24" s="5">
        <f>F24/(($I$9-$I$8)*1.163)</f>
        <v>244.47213872195329</v>
      </c>
      <c r="H24" s="25">
        <v>28</v>
      </c>
      <c r="I24" s="111">
        <f>H24+8</f>
        <v>36</v>
      </c>
      <c r="J24" s="112">
        <v>12.1</v>
      </c>
      <c r="K24" s="104">
        <v>260</v>
      </c>
      <c r="N24" s="132">
        <v>0.88</v>
      </c>
    </row>
    <row r="25" spans="1:14" x14ac:dyDescent="0.3">
      <c r="A25" s="103">
        <v>0.4</v>
      </c>
      <c r="B25" s="4">
        <v>4</v>
      </c>
      <c r="C25" s="25">
        <f>2198*(($D$8+$D$9)/2-$D$10)/50</f>
        <v>2198</v>
      </c>
      <c r="D25" s="5">
        <f>C25/(($D$8-$D$9)*1.163)</f>
        <v>188.99398108340498</v>
      </c>
      <c r="E25" s="5">
        <f>385*(($I$10-(($I$8+$I$9)/2))/10)^N25</f>
        <v>629.99080728685692</v>
      </c>
      <c r="F25" s="5">
        <f t="shared" si="1"/>
        <v>965.53414040743928</v>
      </c>
      <c r="G25" s="5">
        <f>F25/(($I$9-$I$8)*1.163)</f>
        <v>166.04198459285283</v>
      </c>
      <c r="H25" s="25">
        <v>22</v>
      </c>
      <c r="I25" s="111">
        <f>H25+8</f>
        <v>30</v>
      </c>
      <c r="J25" s="112">
        <v>6.7</v>
      </c>
      <c r="K25" s="104">
        <v>179</v>
      </c>
      <c r="N25" s="132">
        <v>0.88</v>
      </c>
    </row>
    <row r="26" spans="1:14" x14ac:dyDescent="0.3">
      <c r="A26" s="103">
        <v>0.2</v>
      </c>
      <c r="B26" s="4">
        <v>2</v>
      </c>
      <c r="C26" s="25">
        <f>1393*(($D$8+$D$9)/2-$D$10)/50</f>
        <v>1393</v>
      </c>
      <c r="D26" s="5">
        <f>C26/(($D$8-$D$9)*1.163)</f>
        <v>119.77644024075666</v>
      </c>
      <c r="E26" s="5">
        <f>197*(($I$10-(($I$8+$I$9)/2))/10)^N26</f>
        <v>322.35893255976833</v>
      </c>
      <c r="F26" s="5">
        <f t="shared" si="1"/>
        <v>501.25470068064692</v>
      </c>
      <c r="G26" s="5">
        <f>F26/(($I$9-$I$8)*1.163)</f>
        <v>86.200292464427662</v>
      </c>
      <c r="H26" s="25">
        <v>19</v>
      </c>
      <c r="I26" s="111">
        <f>H26+8</f>
        <v>27</v>
      </c>
      <c r="J26" s="112">
        <v>3.2</v>
      </c>
      <c r="K26" s="104">
        <v>82</v>
      </c>
      <c r="N26" s="132">
        <v>0.88</v>
      </c>
    </row>
    <row r="27" spans="1:14" ht="16.95" customHeight="1" x14ac:dyDescent="0.3">
      <c r="A27" s="115" t="s">
        <v>37</v>
      </c>
      <c r="B27" s="116"/>
      <c r="C27" s="115"/>
      <c r="D27" s="117"/>
      <c r="E27" s="116"/>
      <c r="F27" s="116"/>
      <c r="G27" s="116"/>
      <c r="H27" s="115"/>
      <c r="I27" s="116"/>
      <c r="J27" s="116"/>
      <c r="K27" s="117"/>
      <c r="N27" s="132" t="s">
        <v>40</v>
      </c>
    </row>
    <row r="28" spans="1:14" x14ac:dyDescent="0.3">
      <c r="A28" s="103">
        <v>1</v>
      </c>
      <c r="B28" s="4">
        <v>10</v>
      </c>
      <c r="C28" s="25">
        <f>7844*(($D$8+$D$9)/2-$D$10)/50</f>
        <v>7844</v>
      </c>
      <c r="D28" s="5">
        <f>C28/(($D$8-$D$9)*1.163)</f>
        <v>674.46259673258805</v>
      </c>
      <c r="E28" s="5">
        <f>1838*(($I$10-(($I$8+$I$9)/2))/10)^N28</f>
        <v>3058.5115955730962</v>
      </c>
      <c r="F28" s="5">
        <f>$E28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28+0.00625)*($I$10-($I$8+$I$9)/2)-(-0.000625*$B28+0.00625)*10)))</f>
        <v>4493.8192117639819</v>
      </c>
      <c r="G28" s="5">
        <f>F28/(($I$9-$I$8)*1.163)</f>
        <v>772.79780081925742</v>
      </c>
      <c r="H28" s="25">
        <v>44</v>
      </c>
      <c r="I28" s="111">
        <f>H28+8</f>
        <v>52</v>
      </c>
      <c r="J28" s="112">
        <v>38.9</v>
      </c>
      <c r="K28" s="104">
        <v>752</v>
      </c>
      <c r="N28" s="132">
        <v>0.91</v>
      </c>
    </row>
    <row r="29" spans="1:14" x14ac:dyDescent="0.3">
      <c r="A29" s="103">
        <v>0.8</v>
      </c>
      <c r="B29" s="4">
        <v>8</v>
      </c>
      <c r="C29" s="25">
        <f>6773*(($D$8+$D$9)/2-$D$10)/50</f>
        <v>6773</v>
      </c>
      <c r="D29" s="5">
        <f>C29/(($D$8-$D$9)*1.163)</f>
        <v>582.3731728288908</v>
      </c>
      <c r="E29" s="5">
        <f>1470*(($I$10-(($I$8+$I$9)/2))/10)^N29</f>
        <v>2432.4928845939835</v>
      </c>
      <c r="F29" s="5">
        <f t="shared" ref="F29:F32" si="2">$E29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29+0.00625)*($I$10-($I$8+$I$9)/2)-(-0.000625*$B29+0.00625)*10)))</f>
        <v>3623.9385829224861</v>
      </c>
      <c r="G29" s="5">
        <f>F29/(($I$9-$I$8)*1.163)</f>
        <v>623.2052593159907</v>
      </c>
      <c r="H29" s="25">
        <v>39</v>
      </c>
      <c r="I29" s="111">
        <f t="shared" ref="I29:I32" si="3">H29+8</f>
        <v>47</v>
      </c>
      <c r="J29" s="112">
        <v>27.7</v>
      </c>
      <c r="K29" s="104">
        <v>660</v>
      </c>
      <c r="N29" s="132">
        <v>0.9</v>
      </c>
    </row>
    <row r="30" spans="1:14" x14ac:dyDescent="0.3">
      <c r="A30" s="103">
        <v>0.6</v>
      </c>
      <c r="B30" s="4">
        <v>6</v>
      </c>
      <c r="C30" s="25">
        <f>5396*(($D$8+$D$9)/2-$D$10)/50</f>
        <v>5396</v>
      </c>
      <c r="D30" s="5">
        <f>C30/(($D$8-$D$9)*1.163)</f>
        <v>463.9724849527085</v>
      </c>
      <c r="E30" s="5">
        <f>1112*(($I$10-(($I$8+$I$9)/2))/10)^N30</f>
        <v>1819.6098122155452</v>
      </c>
      <c r="F30" s="5">
        <f t="shared" si="2"/>
        <v>2749.2613933478128</v>
      </c>
      <c r="G30" s="5">
        <f>F30/(($I$9-$I$8)*1.163)</f>
        <v>472.78785784141235</v>
      </c>
      <c r="H30" s="25">
        <v>31</v>
      </c>
      <c r="I30" s="111">
        <f t="shared" si="3"/>
        <v>39</v>
      </c>
      <c r="J30" s="112">
        <v>16.899999999999999</v>
      </c>
      <c r="K30" s="104">
        <v>496</v>
      </c>
      <c r="N30" s="132">
        <v>0.88</v>
      </c>
    </row>
    <row r="31" spans="1:14" x14ac:dyDescent="0.3">
      <c r="A31" s="103">
        <v>0.4</v>
      </c>
      <c r="B31" s="4">
        <v>4</v>
      </c>
      <c r="C31" s="25">
        <f>4133*(($D$8+$D$9)/2-$D$10)/50</f>
        <v>4133</v>
      </c>
      <c r="D31" s="5">
        <f>C31/(($D$8-$D$9)*1.163)</f>
        <v>355.37403267411861</v>
      </c>
      <c r="E31" s="5">
        <f>750*(($I$10-(($I$8+$I$9)/2))/10)^N31</f>
        <v>1227.2548193899811</v>
      </c>
      <c r="F31" s="5">
        <f t="shared" si="2"/>
        <v>1880.9106631313753</v>
      </c>
      <c r="G31" s="5">
        <f>F31/(($I$9-$I$8)*1.163)</f>
        <v>323.45841154451853</v>
      </c>
      <c r="H31" s="25">
        <v>25</v>
      </c>
      <c r="I31" s="111">
        <f t="shared" si="3"/>
        <v>33</v>
      </c>
      <c r="J31" s="112">
        <v>9.4</v>
      </c>
      <c r="K31" s="104">
        <v>346</v>
      </c>
      <c r="N31" s="132">
        <v>0.88</v>
      </c>
    </row>
    <row r="32" spans="1:14" x14ac:dyDescent="0.3">
      <c r="A32" s="105">
        <v>0.2</v>
      </c>
      <c r="B32" s="106">
        <v>2</v>
      </c>
      <c r="C32" s="107">
        <f>2618*(($D$8+$D$9)/2-$D$10)/50</f>
        <v>2618</v>
      </c>
      <c r="D32" s="108">
        <f>C32/(($D$8-$D$9)*1.163)</f>
        <v>225.10748065348236</v>
      </c>
      <c r="E32" s="108">
        <f>384*(($I$10-(($I$8+$I$9)/2))/10)^N32</f>
        <v>628.35446752767029</v>
      </c>
      <c r="F32" s="5">
        <f t="shared" si="2"/>
        <v>977.06500031151484</v>
      </c>
      <c r="G32" s="113">
        <f>F32/(($I$9-$I$8)*1.163)</f>
        <v>168.02493556517882</v>
      </c>
      <c r="H32" s="107">
        <v>22</v>
      </c>
      <c r="I32" s="113">
        <f t="shared" si="3"/>
        <v>30</v>
      </c>
      <c r="J32" s="114">
        <v>4.5999999999999996</v>
      </c>
      <c r="K32" s="109">
        <v>179</v>
      </c>
      <c r="N32" s="132">
        <v>0.88</v>
      </c>
    </row>
    <row r="33" spans="1:14" ht="16.95" customHeight="1" x14ac:dyDescent="0.3">
      <c r="A33" s="115" t="s">
        <v>38</v>
      </c>
      <c r="B33" s="116"/>
      <c r="C33" s="115"/>
      <c r="D33" s="117"/>
      <c r="E33" s="116"/>
      <c r="F33" s="116"/>
      <c r="G33" s="116"/>
      <c r="H33" s="118"/>
      <c r="I33" s="119"/>
      <c r="J33" s="119"/>
      <c r="K33" s="117"/>
      <c r="N33" s="132" t="s">
        <v>40</v>
      </c>
    </row>
    <row r="34" spans="1:14" x14ac:dyDescent="0.3">
      <c r="A34" s="103">
        <v>1</v>
      </c>
      <c r="B34" s="4">
        <v>10</v>
      </c>
      <c r="C34" s="25">
        <f>11239*(($D$8+$D$9)/2-$D$10)/50</f>
        <v>11239</v>
      </c>
      <c r="D34" s="5">
        <f>C34/(($D$8-$D$9)*1.163)</f>
        <v>966.38005159071361</v>
      </c>
      <c r="E34" s="5">
        <f>2710*(($I$10-(($I$8+$I$9)/2))/10)^N34</f>
        <v>4509.5573579995053</v>
      </c>
      <c r="F34" s="5">
        <f>$E34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34+0.00625)*($I$10-($I$8+$I$9)/2)-(-0.000625*$B34+0.00625)*10)))</f>
        <v>6625.8161392167522</v>
      </c>
      <c r="G34" s="5">
        <f>F34/(($I$9-$I$8)*1.163)</f>
        <v>1139.4352775953141</v>
      </c>
      <c r="H34" s="25">
        <v>45</v>
      </c>
      <c r="I34" s="111">
        <f>H34+8</f>
        <v>53</v>
      </c>
      <c r="J34" s="112">
        <v>53.8</v>
      </c>
      <c r="K34" s="104">
        <v>1103</v>
      </c>
      <c r="N34" s="132">
        <v>0.91</v>
      </c>
    </row>
    <row r="35" spans="1:14" x14ac:dyDescent="0.3">
      <c r="A35" s="103">
        <v>0.8</v>
      </c>
      <c r="B35" s="4">
        <v>8</v>
      </c>
      <c r="C35" s="25">
        <f>9703*(($D$8+$D$9)/2-$D$10)/50</f>
        <v>9703</v>
      </c>
      <c r="D35" s="5">
        <f>C35/(($D$8-$D$9)*1.163)</f>
        <v>834.30782459157342</v>
      </c>
      <c r="E35" s="5">
        <f>2187*(($I$10-(($I$8+$I$9)/2))/10)^N35</f>
        <v>3618.9536997326818</v>
      </c>
      <c r="F35" s="5">
        <f t="shared" ref="F35:F38" si="4">$E35/(IF((237.3*LN(($I$11*EXP(17.27*($I$10/($I$10+237.3))))))/(17.27-LN(($I$11*EXP(17.27*($I$10/($I$10+237.3))))))&lt;($I$8+$I$9)/2,1,1/(1+((2258*((0.622/((101325/(1*611*EXP(17.27*(($I$8+$I$9)/2/(($I$8+$I$9)/2+237.3))))))-1)*1000-(0.622/((101325/($I$11*611*EXP(17.27*($I$10/($I$10+237.3))))))-1)*1000))/(1005*(($I$8+$I$9)/2-$I$10))))-((-0.000625*$B35+0.00625)*($I$10-($I$8+$I$9)/2)-(-0.000625*$B35+0.00625)*10)))</f>
        <v>5391.5331162254952</v>
      </c>
      <c r="G35" s="5">
        <f>F35/(($I$9-$I$8)*1.163)</f>
        <v>927.17680416603525</v>
      </c>
      <c r="H35" s="25">
        <v>40</v>
      </c>
      <c r="I35" s="111">
        <f t="shared" ref="I35:I38" si="5">H35+8</f>
        <v>48</v>
      </c>
      <c r="J35" s="112">
        <v>37</v>
      </c>
      <c r="K35" s="104">
        <v>969</v>
      </c>
      <c r="N35" s="132">
        <v>0.9</v>
      </c>
    </row>
    <row r="36" spans="1:14" x14ac:dyDescent="0.3">
      <c r="A36" s="103">
        <v>0.6</v>
      </c>
      <c r="B36" s="4">
        <v>6</v>
      </c>
      <c r="C36" s="25">
        <f>8338*(($D$8+$D$9)/2-$D$10)/50</f>
        <v>8338</v>
      </c>
      <c r="D36" s="5">
        <f>C36/(($D$8-$D$9)*1.163)</f>
        <v>716.93895098882194</v>
      </c>
      <c r="E36" s="5">
        <f>1654*(($I$10-(($I$8+$I$9)/2))/10)^N36</f>
        <v>2706.5059616947046</v>
      </c>
      <c r="F36" s="5">
        <f t="shared" si="4"/>
        <v>4089.2790868680595</v>
      </c>
      <c r="G36" s="5">
        <f>F36/(($I$9-$I$8)*1.163)</f>
        <v>703.22942164540996</v>
      </c>
      <c r="H36" s="25">
        <v>32</v>
      </c>
      <c r="I36" s="111">
        <f t="shared" si="5"/>
        <v>40</v>
      </c>
      <c r="J36" s="112">
        <v>21.7</v>
      </c>
      <c r="K36" s="104">
        <v>732</v>
      </c>
      <c r="N36" s="132">
        <v>0.88</v>
      </c>
    </row>
    <row r="37" spans="1:14" x14ac:dyDescent="0.3">
      <c r="A37" s="103">
        <v>0.4</v>
      </c>
      <c r="B37" s="4">
        <v>4</v>
      </c>
      <c r="C37" s="25">
        <f>6148*(($D$8+$D$9)/2-$D$10)/50</f>
        <v>6148</v>
      </c>
      <c r="D37" s="5">
        <f>C37/(($D$8-$D$9)*1.163)</f>
        <v>528.63284608770414</v>
      </c>
      <c r="E37" s="5">
        <f>1106*(($I$10-(($I$8+$I$9)/2))/10)^N37</f>
        <v>1809.7917736604254</v>
      </c>
      <c r="F37" s="5">
        <f t="shared" si="4"/>
        <v>2773.716257897735</v>
      </c>
      <c r="G37" s="5">
        <f>F37/(($I$9-$I$8)*1.163)</f>
        <v>476.99333755765002</v>
      </c>
      <c r="H37" s="25">
        <v>26</v>
      </c>
      <c r="I37" s="111">
        <f t="shared" si="5"/>
        <v>34</v>
      </c>
      <c r="J37" s="112">
        <v>12.1</v>
      </c>
      <c r="K37" s="104">
        <v>513</v>
      </c>
      <c r="N37" s="132">
        <v>0.88</v>
      </c>
    </row>
    <row r="38" spans="1:14" x14ac:dyDescent="0.3">
      <c r="A38" s="105">
        <v>0.2</v>
      </c>
      <c r="B38" s="106">
        <v>2</v>
      </c>
      <c r="C38" s="107">
        <f>3896*(($D$8+$D$9)/2-$D$10)/50</f>
        <v>3896</v>
      </c>
      <c r="D38" s="108">
        <f>C38/(($D$8-$D$9)*1.163)</f>
        <v>334.99570077386068</v>
      </c>
      <c r="E38" s="108">
        <f>565*(($I$10-(($I$8+$I$9)/2))/10)^N38</f>
        <v>924.53196394045233</v>
      </c>
      <c r="F38" s="5">
        <f t="shared" si="4"/>
        <v>1437.6086593125153</v>
      </c>
      <c r="G38" s="108">
        <f>F38/(($I$9-$I$8)*1.163)</f>
        <v>247.22418904772402</v>
      </c>
      <c r="H38" s="107">
        <v>23</v>
      </c>
      <c r="I38" s="113">
        <f t="shared" si="5"/>
        <v>31</v>
      </c>
      <c r="J38" s="114">
        <v>6.1</v>
      </c>
      <c r="K38" s="109">
        <v>276</v>
      </c>
      <c r="N38" s="132">
        <v>0.88</v>
      </c>
    </row>
    <row r="39" spans="1:14" ht="9.4499999999999993" customHeight="1" x14ac:dyDescent="0.3">
      <c r="A39" s="6" t="s">
        <v>31</v>
      </c>
      <c r="B39" s="3"/>
      <c r="C39" s="3"/>
      <c r="D39" s="3"/>
      <c r="E39" s="3"/>
      <c r="F39" s="3"/>
      <c r="G39" s="3"/>
      <c r="H39" s="3"/>
      <c r="I39" s="3"/>
      <c r="J39" s="3"/>
      <c r="K39" s="133" t="s">
        <v>41</v>
      </c>
    </row>
    <row r="40" spans="1:14" ht="9.4499999999999993" customHeight="1" x14ac:dyDescent="0.3">
      <c r="A40" s="6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4" ht="9.4499999999999993" customHeight="1" x14ac:dyDescent="0.3">
      <c r="A41" s="6" t="s">
        <v>33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4" s="3" customFormat="1" ht="16.05" hidden="1" customHeight="1" x14ac:dyDescent="0.3"/>
    <row r="43" spans="1:14" hidden="1" x14ac:dyDescent="0.3"/>
    <row r="44" spans="1:14" hidden="1" x14ac:dyDescent="0.3"/>
    <row r="45" spans="1:14" hidden="1" x14ac:dyDescent="0.3"/>
    <row r="46" spans="1:14" hidden="1" x14ac:dyDescent="0.3"/>
    <row r="47" spans="1:14" hidden="1" x14ac:dyDescent="0.3"/>
    <row r="48" spans="1:14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</sheetData>
  <sheetProtection algorithmName="SHA-512" hashValue="WVZgRkyDDKj9LqsmhU07QPVPYV6iy8u3jwaz2SgsAmESiHWLxtnD96wqBHjxdlwGSjO72iSTznFbHLaZKIBuJg==" saltValue="M2c5F3FxIlRgLHthaafoTQ==" spinCount="100000" sheet="1" objects="1" scenarios="1" selectLockedCells="1"/>
  <sortState ref="A27:J31">
    <sortCondition descending="1" ref="A27"/>
  </sortState>
  <dataConsolidate/>
  <mergeCells count="8">
    <mergeCell ref="A33:K33"/>
    <mergeCell ref="A15:K15"/>
    <mergeCell ref="A8:C8"/>
    <mergeCell ref="A9:C9"/>
    <mergeCell ref="A10:C10"/>
    <mergeCell ref="A27:K27"/>
    <mergeCell ref="A21:K21"/>
    <mergeCell ref="A11:C11"/>
  </mergeCells>
  <phoneticPr fontId="4" type="noConversion"/>
  <dataValidations xWindow="659" yWindow="405" count="7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:D11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decimal" errorStyle="information" allowBlank="1" showErrorMessage="1" error="Eingabe außerhalb des gültigen Bereichs." prompt="20°C bis 35°C" sqref="I11">
      <formula1>0</formula1>
      <formula2>1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&amp;L&amp;G&amp;C&amp;16&amp;K00-039CLIMA CANAL H19 HYBRID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J1:V45"/>
  <sheetViews>
    <sheetView showWhiteSpace="0" topLeftCell="J13" workbookViewId="0">
      <selection activeCell="N12" sqref="N12"/>
    </sheetView>
  </sheetViews>
  <sheetFormatPr baseColWidth="10" defaultColWidth="0" defaultRowHeight="14.4" zeroHeight="1" x14ac:dyDescent="0.3"/>
  <cols>
    <col min="1" max="9" width="11.44140625" style="41" hidden="1" customWidth="1"/>
    <col min="10" max="10" width="7" style="41" customWidth="1"/>
    <col min="11" max="11" width="6.109375" style="41" customWidth="1"/>
    <col min="12" max="12" width="7" style="41" customWidth="1"/>
    <col min="13" max="13" width="6.77734375" style="41" customWidth="1"/>
    <col min="14" max="17" width="7" style="41" customWidth="1"/>
    <col min="18" max="18" width="7.21875" style="41" customWidth="1"/>
    <col min="19" max="19" width="7" style="41" customWidth="1"/>
    <col min="20" max="22" width="0" style="41" hidden="1" customWidth="1"/>
    <col min="23" max="16384" width="11.44140625" style="41" hidden="1"/>
  </cols>
  <sheetData>
    <row r="1" spans="10:19" s="32" customFormat="1" x14ac:dyDescent="0.3">
      <c r="J1" s="33"/>
    </row>
    <row r="2" spans="10:19" s="32" customFormat="1" x14ac:dyDescent="0.3">
      <c r="J2" s="30" t="s">
        <v>15</v>
      </c>
      <c r="K2" s="31"/>
    </row>
    <row r="3" spans="10:19" s="32" customFormat="1" x14ac:dyDescent="0.3">
      <c r="J3" s="33"/>
    </row>
    <row r="4" spans="10:19" s="32" customFormat="1" x14ac:dyDescent="0.3">
      <c r="J4" s="34" t="s">
        <v>17</v>
      </c>
    </row>
    <row r="5" spans="10:19" s="32" customFormat="1" ht="6" customHeight="1" x14ac:dyDescent="0.3">
      <c r="J5" s="35"/>
      <c r="K5" s="36"/>
      <c r="L5" s="36"/>
      <c r="M5" s="36"/>
      <c r="N5" s="36"/>
      <c r="O5" s="36"/>
      <c r="P5" s="36"/>
      <c r="Q5" s="36"/>
      <c r="R5" s="37"/>
    </row>
    <row r="6" spans="10:19" x14ac:dyDescent="0.3">
      <c r="J6" s="38" t="s">
        <v>16</v>
      </c>
      <c r="K6" s="39"/>
      <c r="L6" s="39"/>
      <c r="M6" s="39"/>
      <c r="N6" s="39"/>
      <c r="O6" s="39"/>
      <c r="P6" s="39"/>
      <c r="Q6" s="39"/>
      <c r="R6" s="40"/>
      <c r="S6" s="32"/>
    </row>
    <row r="7" spans="10:19" x14ac:dyDescent="0.3">
      <c r="J7" s="38" t="s">
        <v>8</v>
      </c>
      <c r="K7" s="39"/>
      <c r="L7" s="39"/>
      <c r="M7" s="39"/>
      <c r="N7" s="39"/>
      <c r="O7" s="39"/>
      <c r="P7" s="39"/>
      <c r="Q7" s="39"/>
      <c r="R7" s="40"/>
      <c r="S7" s="32"/>
    </row>
    <row r="8" spans="10:19" x14ac:dyDescent="0.3">
      <c r="J8" s="82" t="s">
        <v>0</v>
      </c>
      <c r="K8" s="83"/>
      <c r="L8" s="83"/>
      <c r="M8" s="28">
        <v>75</v>
      </c>
      <c r="N8" s="83"/>
      <c r="O8" s="42"/>
      <c r="P8" s="39"/>
      <c r="Q8" s="39"/>
      <c r="R8" s="40"/>
      <c r="S8" s="32"/>
    </row>
    <row r="9" spans="10:19" x14ac:dyDescent="0.3">
      <c r="J9" s="82" t="s">
        <v>14</v>
      </c>
      <c r="K9" s="83"/>
      <c r="L9" s="83"/>
      <c r="M9" s="28">
        <v>65</v>
      </c>
      <c r="N9" s="83"/>
      <c r="O9" s="42"/>
      <c r="P9" s="39"/>
      <c r="Q9" s="39"/>
      <c r="R9" s="40"/>
      <c r="S9" s="32"/>
    </row>
    <row r="10" spans="10:19" x14ac:dyDescent="0.3">
      <c r="J10" s="82" t="s">
        <v>1</v>
      </c>
      <c r="K10" s="83"/>
      <c r="L10" s="83"/>
      <c r="M10" s="28">
        <v>20</v>
      </c>
      <c r="N10" s="83"/>
      <c r="O10" s="42"/>
      <c r="P10" s="39"/>
      <c r="Q10" s="39"/>
      <c r="R10" s="40"/>
      <c r="S10" s="32"/>
    </row>
    <row r="11" spans="10:19" x14ac:dyDescent="0.3">
      <c r="J11" s="43"/>
      <c r="K11" s="39"/>
      <c r="L11" s="39"/>
      <c r="M11" s="39"/>
      <c r="N11" s="39"/>
      <c r="O11" s="39"/>
      <c r="P11" s="39"/>
      <c r="Q11" s="39"/>
      <c r="R11" s="40"/>
      <c r="S11" s="32"/>
    </row>
    <row r="12" spans="10:19" ht="13.95" customHeight="1" x14ac:dyDescent="0.3">
      <c r="J12" s="84" t="s">
        <v>18</v>
      </c>
      <c r="K12" s="85"/>
      <c r="L12" s="85"/>
      <c r="M12" s="85"/>
      <c r="N12" s="29">
        <v>100</v>
      </c>
      <c r="O12" s="39" t="s">
        <v>19</v>
      </c>
      <c r="P12" s="39"/>
      <c r="Q12" s="7" t="s">
        <v>30</v>
      </c>
      <c r="R12" s="40" t="s">
        <v>29</v>
      </c>
      <c r="S12" s="32"/>
    </row>
    <row r="13" spans="10:19" ht="6" customHeight="1" x14ac:dyDescent="0.3">
      <c r="J13" s="44"/>
      <c r="K13" s="45"/>
      <c r="L13" s="45"/>
      <c r="M13" s="45"/>
      <c r="N13" s="46"/>
      <c r="O13" s="46"/>
      <c r="P13" s="46"/>
      <c r="Q13" s="46"/>
      <c r="R13" s="47"/>
      <c r="S13" s="32"/>
    </row>
    <row r="14" spans="10:19" x14ac:dyDescent="0.3">
      <c r="J14" s="48"/>
      <c r="K14" s="48"/>
      <c r="L14" s="48"/>
      <c r="M14" s="48"/>
      <c r="N14" s="48"/>
      <c r="O14" s="48"/>
      <c r="P14" s="48"/>
      <c r="Q14" s="48"/>
      <c r="R14" s="48"/>
      <c r="S14" s="32"/>
    </row>
    <row r="15" spans="10:19" s="52" customFormat="1" ht="91.05" customHeight="1" x14ac:dyDescent="0.3">
      <c r="J15" s="49" t="s">
        <v>2</v>
      </c>
      <c r="K15" s="50" t="s">
        <v>3</v>
      </c>
      <c r="L15" s="49" t="str">
        <f>CONCATENATE("Wärmeleistung ",M8,"/",M9,"/",M10," [W]")</f>
        <v>Wärmeleistung 75/65/20 [W]</v>
      </c>
      <c r="M15" s="88" t="s">
        <v>7</v>
      </c>
      <c r="N15" s="102" t="s">
        <v>13</v>
      </c>
      <c r="O15" s="49" t="s">
        <v>4</v>
      </c>
      <c r="P15" s="50" t="s">
        <v>5</v>
      </c>
      <c r="Q15" s="89" t="s">
        <v>24</v>
      </c>
      <c r="R15" s="51" t="s">
        <v>6</v>
      </c>
    </row>
    <row r="16" spans="10:19" ht="18" customHeight="1" x14ac:dyDescent="0.3">
      <c r="J16" s="125" t="s">
        <v>25</v>
      </c>
      <c r="K16" s="126"/>
      <c r="L16" s="126"/>
      <c r="M16" s="126"/>
      <c r="N16" s="126"/>
      <c r="O16" s="126"/>
      <c r="P16" s="126"/>
      <c r="Q16" s="126"/>
      <c r="R16" s="127"/>
    </row>
    <row r="17" spans="10:18" x14ac:dyDescent="0.3">
      <c r="J17" s="53" t="s">
        <v>10</v>
      </c>
      <c r="K17" s="54">
        <v>4.5</v>
      </c>
      <c r="L17" s="55">
        <f>517*(($M$8+$M$9)/2-$M$10)/50</f>
        <v>517</v>
      </c>
      <c r="M17" s="99">
        <f>L17/(($M$8-$M$9)*1.163)</f>
        <v>44.453998280309541</v>
      </c>
      <c r="N17" s="56">
        <f>0.000115720760310885*M17^1.96267663452922</f>
        <v>0.19848484706919359</v>
      </c>
      <c r="O17" s="57">
        <v>19</v>
      </c>
      <c r="P17" s="58">
        <f>O17+8</f>
        <v>27</v>
      </c>
      <c r="Q17" s="54">
        <v>0.9</v>
      </c>
      <c r="R17" s="58">
        <v>40</v>
      </c>
    </row>
    <row r="18" spans="10:18" x14ac:dyDescent="0.3">
      <c r="J18" s="59" t="s">
        <v>11</v>
      </c>
      <c r="K18" s="60">
        <v>7.5</v>
      </c>
      <c r="L18" s="61">
        <f>903*(($M$8+$M$9)/2-$M$10)/50</f>
        <v>903</v>
      </c>
      <c r="M18" s="96">
        <f>L18/(($M$8-$M$9)*1.163)</f>
        <v>77.64402407566638</v>
      </c>
      <c r="N18" s="97">
        <f>0.000115720760310885*M18^1.96267663452922</f>
        <v>0.59303750035805225</v>
      </c>
      <c r="O18" s="64">
        <v>29</v>
      </c>
      <c r="P18" s="65">
        <f t="shared" ref="P18:P19" si="0">O18+8</f>
        <v>37</v>
      </c>
      <c r="Q18" s="60">
        <v>1.7</v>
      </c>
      <c r="R18" s="65">
        <v>59</v>
      </c>
    </row>
    <row r="19" spans="10:18" x14ac:dyDescent="0.3">
      <c r="J19" s="66" t="s">
        <v>12</v>
      </c>
      <c r="K19" s="67">
        <v>10</v>
      </c>
      <c r="L19" s="68">
        <f>945*(($M$8+$M$9)/2-$M$10)/50</f>
        <v>945</v>
      </c>
      <c r="M19" s="100">
        <f>L19/(($M$8-$M$9)*1.163)</f>
        <v>81.255374032674112</v>
      </c>
      <c r="N19" s="98">
        <f>0.000115720760310885*M19^1.96267663452922</f>
        <v>0.64838559586662303</v>
      </c>
      <c r="O19" s="71">
        <v>34</v>
      </c>
      <c r="P19" s="72">
        <f t="shared" si="0"/>
        <v>42</v>
      </c>
      <c r="Q19" s="67">
        <v>3.1</v>
      </c>
      <c r="R19" s="72">
        <v>70</v>
      </c>
    </row>
    <row r="20" spans="10:18" x14ac:dyDescent="0.3">
      <c r="J20" s="73" t="s">
        <v>20</v>
      </c>
      <c r="K20" s="74">
        <f>N12/10</f>
        <v>10</v>
      </c>
      <c r="L20" s="75">
        <f>IF($K$20&lt;=$K$17,(L17-0)/($K$17-0)*$K$20,IF($K$20&lt;=$K$18,(L18-L17)/($K$18-$K$17)*($K$20-$K$17)+L17,IF($K$20&lt;=$K$19,(L19-L18)/($K$19-$K$18)*($K$20-$K$18)+L18)))</f>
        <v>945</v>
      </c>
      <c r="M20" s="78">
        <f>L20/(($M$8-$M$9)*1.163)</f>
        <v>81.255374032674112</v>
      </c>
      <c r="N20" s="77">
        <f>0.000115720760310885*M20^1.96267663452922</f>
        <v>0.64838559586662303</v>
      </c>
      <c r="O20" s="75">
        <f t="shared" ref="O20:Q20" si="1">IF($K$20&lt;=$K$17,(O17-0)/($K$17-0)*$K$20,IF($K$20&lt;=$K$18,(O18-O17)/($K$18-$K$17)*($K$20-$K$17)+O17,IF($K$20&lt;=$K$19,(O19-O18)/($K$19-$K$18)*($K$20-$K$18)+O18)))</f>
        <v>34</v>
      </c>
      <c r="P20" s="76">
        <f t="shared" si="1"/>
        <v>42</v>
      </c>
      <c r="Q20" s="79">
        <f t="shared" si="1"/>
        <v>3.1</v>
      </c>
      <c r="R20" s="76">
        <f>IF($K$20&lt;=$K$17,(R17-0)/($K$17-0)*$K$20,IF($K$20&lt;=$K$18,(R18-R17)/($K$18-$K$17)*($K$20-$K$17)+R17,IF($K$20&lt;=$K$19,(R19-R18)/($K$19-$K$18)*($K$20-$K$18)+R18)))</f>
        <v>70</v>
      </c>
    </row>
    <row r="21" spans="10:18" ht="16.95" customHeight="1" x14ac:dyDescent="0.3">
      <c r="J21" s="122" t="s">
        <v>26</v>
      </c>
      <c r="K21" s="123"/>
      <c r="L21" s="123"/>
      <c r="M21" s="123"/>
      <c r="N21" s="123"/>
      <c r="O21" s="123"/>
      <c r="P21" s="123"/>
      <c r="Q21" s="123"/>
      <c r="R21" s="124"/>
    </row>
    <row r="22" spans="10:18" x14ac:dyDescent="0.3">
      <c r="J22" s="95" t="s">
        <v>10</v>
      </c>
      <c r="K22" s="90">
        <v>4.5</v>
      </c>
      <c r="L22" s="91">
        <f>1137*(($M$8+$M$9)/2-$M$10)/50</f>
        <v>1137</v>
      </c>
      <c r="M22" s="101">
        <f>L22/(($M$8-$M$9)*1.163)</f>
        <v>97.764402407566635</v>
      </c>
      <c r="N22" s="92">
        <f>0.000380078529687486*M22^1.85023951851061</f>
        <v>1.8288766280485311</v>
      </c>
      <c r="O22" s="93">
        <v>20</v>
      </c>
      <c r="P22" s="94">
        <f>O22+8</f>
        <v>28</v>
      </c>
      <c r="Q22" s="90">
        <v>1.4</v>
      </c>
      <c r="R22" s="94">
        <v>83</v>
      </c>
    </row>
    <row r="23" spans="10:18" x14ac:dyDescent="0.3">
      <c r="J23" s="59" t="s">
        <v>11</v>
      </c>
      <c r="K23" s="60">
        <v>7.5</v>
      </c>
      <c r="L23" s="61">
        <f>2009*(($M$8+$M$9)/2-$M$10)/50</f>
        <v>2009</v>
      </c>
      <c r="M23" s="96">
        <f>L23/(($M$8-$M$9)*1.163)</f>
        <v>172.74290627687014</v>
      </c>
      <c r="N23" s="63">
        <f>0.000380078529687486*M23^1.85023951851061</f>
        <v>5.2432389091867391</v>
      </c>
      <c r="O23" s="64">
        <v>32</v>
      </c>
      <c r="P23" s="65">
        <f t="shared" ref="P23:P24" si="2">O23+8</f>
        <v>40</v>
      </c>
      <c r="Q23" s="60">
        <v>2.9</v>
      </c>
      <c r="R23" s="65">
        <v>119</v>
      </c>
    </row>
    <row r="24" spans="10:18" x14ac:dyDescent="0.3">
      <c r="J24" s="66" t="s">
        <v>12</v>
      </c>
      <c r="K24" s="67">
        <v>10</v>
      </c>
      <c r="L24" s="68">
        <f>2075*(($M$8+$M$9)/2-$M$10)/50</f>
        <v>2075</v>
      </c>
      <c r="M24" s="100">
        <f>L24/(($M$8-$M$9)*1.163)</f>
        <v>178.41788478073946</v>
      </c>
      <c r="N24" s="70">
        <f>0.000380078529687486*M24^1.85023951851061</f>
        <v>5.566389769743572</v>
      </c>
      <c r="O24" s="71">
        <v>37</v>
      </c>
      <c r="P24" s="72">
        <f t="shared" si="2"/>
        <v>45</v>
      </c>
      <c r="Q24" s="67">
        <v>5.3</v>
      </c>
      <c r="R24" s="72">
        <v>142</v>
      </c>
    </row>
    <row r="25" spans="10:18" x14ac:dyDescent="0.3">
      <c r="J25" s="73" t="s">
        <v>20</v>
      </c>
      <c r="K25" s="74">
        <f>K20</f>
        <v>10</v>
      </c>
      <c r="L25" s="75">
        <f>IF($K$20&lt;=$K$17,(L22-0)/($K$17-0)*$K$20,IF($K$20&lt;=$K$18,(L23-L22)/($K$18-$K$17)*($K$20-$K$17)+L22,IF($K$20&lt;=$K$19,(L24-L23)/($K$19-$K$18)*($K$20-$K$18)+L23)))</f>
        <v>2075</v>
      </c>
      <c r="M25" s="78">
        <f>L25/(($M$8-$M$9)*1.163)</f>
        <v>178.41788478073946</v>
      </c>
      <c r="N25" s="77">
        <f>0.000115720760310885*M25^1.96267663452922</f>
        <v>3.0356856194473969</v>
      </c>
      <c r="O25" s="75">
        <f t="shared" ref="O25:Q25" si="3">IF($K$20&lt;=$K$17,(O22-0)/($K$17-0)*$K$20,IF($K$20&lt;=$K$18,(O23-O22)/($K$18-$K$17)*($K$20-$K$17)+O22,IF($K$20&lt;=$K$19,(O24-O23)/($K$19-$K$18)*($K$20-$K$18)+O23)))</f>
        <v>37</v>
      </c>
      <c r="P25" s="76">
        <f t="shared" si="3"/>
        <v>45</v>
      </c>
      <c r="Q25" s="79">
        <f t="shared" si="3"/>
        <v>5.3</v>
      </c>
      <c r="R25" s="76">
        <f>IF($K$20&lt;=$K$17,(R22-0)/($K$17-0)*$K$20,IF($K$20&lt;=$K$18,(R23-R22)/($K$18-$K$17)*($K$20-$K$17)+R22,IF($K$20&lt;=$K$19,(R24-R23)/($K$19-$K$18)*($K$20-$K$18)+R23)))</f>
        <v>142</v>
      </c>
    </row>
    <row r="26" spans="10:18" ht="18" customHeight="1" x14ac:dyDescent="0.3">
      <c r="J26" s="128" t="s">
        <v>27</v>
      </c>
      <c r="K26" s="129"/>
      <c r="L26" s="129"/>
      <c r="M26" s="129"/>
      <c r="N26" s="129"/>
      <c r="O26" s="129"/>
      <c r="P26" s="129"/>
      <c r="Q26" s="129"/>
      <c r="R26" s="130"/>
    </row>
    <row r="27" spans="10:18" x14ac:dyDescent="0.3">
      <c r="J27" s="66" t="s">
        <v>10</v>
      </c>
      <c r="K27" s="67">
        <v>4.5</v>
      </c>
      <c r="L27" s="68">
        <f>1654*(($M$8+$M$9)/2-$M$10)/50</f>
        <v>1654</v>
      </c>
      <c r="M27" s="69">
        <f>L27/(($M$8-$M$9)*1.163)</f>
        <v>142.21840068787617</v>
      </c>
      <c r="N27" s="70">
        <f>0.000694966007451909*M27^1.79406140071215</f>
        <v>5.0640553495032732</v>
      </c>
      <c r="O27" s="71">
        <v>22</v>
      </c>
      <c r="P27" s="94">
        <f>O27+8</f>
        <v>30</v>
      </c>
      <c r="Q27" s="67">
        <v>2.4</v>
      </c>
      <c r="R27" s="72">
        <v>123</v>
      </c>
    </row>
    <row r="28" spans="10:18" x14ac:dyDescent="0.3">
      <c r="J28" s="59" t="s">
        <v>11</v>
      </c>
      <c r="K28" s="60">
        <v>7.5</v>
      </c>
      <c r="L28" s="61">
        <f>2912*(($M$8+$M$9)/2-$M$10)/50</f>
        <v>2912</v>
      </c>
      <c r="M28" s="62">
        <f>L28/(($M$8-$M$9)*1.163)</f>
        <v>250.38693035253652</v>
      </c>
      <c r="N28" s="63">
        <f>0.000694966007451909*M28^1.79406140071215</f>
        <v>13.970763787917598</v>
      </c>
      <c r="O28" s="64">
        <v>34</v>
      </c>
      <c r="P28" s="65">
        <f t="shared" ref="P28:P29" si="4">O28+8</f>
        <v>42</v>
      </c>
      <c r="Q28" s="60">
        <v>4.8</v>
      </c>
      <c r="R28" s="65">
        <v>178</v>
      </c>
    </row>
    <row r="29" spans="10:18" x14ac:dyDescent="0.3">
      <c r="J29" s="66" t="s">
        <v>12</v>
      </c>
      <c r="K29" s="67">
        <v>10</v>
      </c>
      <c r="L29" s="68">
        <f>3011*(($M$8+$M$9)/2-$M$10)/50</f>
        <v>3011</v>
      </c>
      <c r="M29" s="69">
        <f>L29/(($M$8-$M$9)*1.163)</f>
        <v>258.89939810834051</v>
      </c>
      <c r="N29" s="70">
        <f>0.000694966007451909*M29^1.79406140071215</f>
        <v>14.83436012101361</v>
      </c>
      <c r="O29" s="71">
        <v>39</v>
      </c>
      <c r="P29" s="72">
        <f t="shared" si="4"/>
        <v>47</v>
      </c>
      <c r="Q29" s="67">
        <v>8.6</v>
      </c>
      <c r="R29" s="72">
        <v>213</v>
      </c>
    </row>
    <row r="30" spans="10:18" x14ac:dyDescent="0.3">
      <c r="J30" s="73" t="s">
        <v>20</v>
      </c>
      <c r="K30" s="74">
        <f>K20</f>
        <v>10</v>
      </c>
      <c r="L30" s="75">
        <f>IF($K$20&lt;=$K$17,(L27-0)/($K$17-0)*$K$20,IF($K$20&lt;=$K$18,(L28-L27)/($K$18-$K$17)*($K$20-$K$17)+L27,IF($K$20&lt;=$K$19,(L29-L28)/($K$19-$K$18)*($K$20-$K$18)+L28)))</f>
        <v>3011</v>
      </c>
      <c r="M30" s="76">
        <f>L30/(($M$8-$M$9)*1.163)</f>
        <v>258.89939810834051</v>
      </c>
      <c r="N30" s="77">
        <f>0.000115720760310885*M30^1.96267663452922</f>
        <v>6.3038691255605972</v>
      </c>
      <c r="O30" s="75">
        <f t="shared" ref="O30:Q30" si="5">IF($K$20&lt;=$K$17,(O27-0)/($K$17-0)*$K$20,IF($K$20&lt;=$K$18,(O28-O27)/($K$18-$K$17)*($K$20-$K$17)+O27,IF($K$20&lt;=$K$19,(O29-O28)/($K$19-$K$18)*($K$20-$K$18)+O28)))</f>
        <v>39</v>
      </c>
      <c r="P30" s="76">
        <f t="shared" si="5"/>
        <v>47</v>
      </c>
      <c r="Q30" s="79">
        <f t="shared" si="5"/>
        <v>8.6</v>
      </c>
      <c r="R30" s="76">
        <f>IF($K$20&lt;=$K$17,(R27-0)/($K$17-0)*$K$20,IF($K$20&lt;=$K$18,(R28-R27)/($K$18-$K$17)*($K$20-$K$17)+R27,IF($K$20&lt;=$K$19,(R29-R28)/($K$19-$K$18)*($K$20-$K$18)+R28)))</f>
        <v>213</v>
      </c>
    </row>
    <row r="31" spans="10:18" ht="16.95" customHeight="1" x14ac:dyDescent="0.3">
      <c r="J31" s="128" t="s">
        <v>28</v>
      </c>
      <c r="K31" s="129"/>
      <c r="L31" s="129"/>
      <c r="M31" s="129"/>
      <c r="N31" s="129"/>
      <c r="O31" s="129"/>
      <c r="P31" s="129"/>
      <c r="Q31" s="129"/>
      <c r="R31" s="130"/>
    </row>
    <row r="32" spans="10:18" x14ac:dyDescent="0.3">
      <c r="J32" s="66" t="s">
        <v>10</v>
      </c>
      <c r="K32" s="67">
        <v>4.5</v>
      </c>
      <c r="L32" s="68">
        <f>2274*(($M$8+$M$9)/2-$M$10)/50</f>
        <v>2274</v>
      </c>
      <c r="M32" s="101">
        <f>L32/(($M$8-$M$9)*1.163)</f>
        <v>195.52880481513327</v>
      </c>
      <c r="N32" s="70">
        <f>0.000942610818998735*M32^1.78835044792727</f>
        <v>11.798320332390523</v>
      </c>
      <c r="O32" s="71">
        <v>23</v>
      </c>
      <c r="P32" s="94">
        <f>O32+8</f>
        <v>31</v>
      </c>
      <c r="Q32" s="67">
        <v>2.9</v>
      </c>
      <c r="R32" s="72">
        <v>165</v>
      </c>
    </row>
    <row r="33" spans="10:19" x14ac:dyDescent="0.3">
      <c r="J33" s="59" t="s">
        <v>11</v>
      </c>
      <c r="K33" s="60">
        <v>7.5</v>
      </c>
      <c r="L33" s="61">
        <f>4018*(($M$8+$M$9)/2-$M$10)/50</f>
        <v>4018</v>
      </c>
      <c r="M33" s="96">
        <f>L33/(($M$8-$M$9)*1.163)</f>
        <v>345.48581255374029</v>
      </c>
      <c r="N33" s="63">
        <f>0.000942610818998735*M33^1.78835044792727</f>
        <v>32.653913425246301</v>
      </c>
      <c r="O33" s="64">
        <v>35</v>
      </c>
      <c r="P33" s="65">
        <f t="shared" ref="P33:P34" si="6">O33+8</f>
        <v>43</v>
      </c>
      <c r="Q33" s="60">
        <v>6.2</v>
      </c>
      <c r="R33" s="65">
        <v>238</v>
      </c>
    </row>
    <row r="34" spans="10:19" x14ac:dyDescent="0.3">
      <c r="J34" s="66" t="s">
        <v>12</v>
      </c>
      <c r="K34" s="67">
        <v>10</v>
      </c>
      <c r="L34" s="68">
        <f>4145*(($M$8+$M$9)/2-$M$10)/50</f>
        <v>4145</v>
      </c>
      <c r="M34" s="100">
        <f>L34/(($M$8-$M$9)*1.163)</f>
        <v>356.40584694754943</v>
      </c>
      <c r="N34" s="70">
        <f>0.000942610818998735*M34^1.78835044792727</f>
        <v>34.522646588123955</v>
      </c>
      <c r="O34" s="71">
        <v>40</v>
      </c>
      <c r="P34" s="72">
        <f t="shared" si="6"/>
        <v>48</v>
      </c>
      <c r="Q34" s="67">
        <v>11.5</v>
      </c>
      <c r="R34" s="72">
        <v>284</v>
      </c>
    </row>
    <row r="35" spans="10:19" x14ac:dyDescent="0.3">
      <c r="J35" s="73" t="s">
        <v>20</v>
      </c>
      <c r="K35" s="74">
        <f>K20</f>
        <v>10</v>
      </c>
      <c r="L35" s="75">
        <f>IF($K$20&lt;=$K$17,(L32-0)/($K$17-0)*$K$20,IF($K$20&lt;=$K$18,(L33-L32)/($K$18-$K$17)*($K$20-$K$17)+L32,IF($K$20&lt;=$K$19,(L34-L33)/($K$19-$K$18)*($K$20-$K$18)+L33)))</f>
        <v>4145</v>
      </c>
      <c r="M35" s="78">
        <f>L35/(($M$8-$M$9)*1.163)</f>
        <v>356.40584694754943</v>
      </c>
      <c r="N35" s="77">
        <f>0.000115720760310885*M35^1.96267663452922</f>
        <v>11.804667245499628</v>
      </c>
      <c r="O35" s="75">
        <f t="shared" ref="O35:Q35" si="7">IF($K$20&lt;=$K$17,(O32-0)/($K$17-0)*$K$20,IF($K$20&lt;=$K$18,(O33-O32)/($K$18-$K$17)*($K$20-$K$17)+O32,IF($K$20&lt;=$K$19,(O34-O33)/($K$19-$K$18)*($K$20-$K$18)+O33)))</f>
        <v>40</v>
      </c>
      <c r="P35" s="76">
        <f t="shared" si="7"/>
        <v>48</v>
      </c>
      <c r="Q35" s="79">
        <f t="shared" si="7"/>
        <v>11.5</v>
      </c>
      <c r="R35" s="76">
        <f>IF($K$20&lt;=$K$17,(R32-0)/($K$17-0)*$K$20,IF($K$20&lt;=$K$18,(R33-R32)/($K$18-$K$17)*($K$20-$K$17)+R32,IF($K$20&lt;=$K$19,(R34-R33)/($K$19-$K$18)*($K$20-$K$18)+R33)))</f>
        <v>284</v>
      </c>
    </row>
    <row r="36" spans="10:19" ht="10.199999999999999" customHeight="1" x14ac:dyDescent="0.3">
      <c r="J36" s="80" t="s">
        <v>21</v>
      </c>
      <c r="K36" s="32"/>
      <c r="L36" s="32"/>
      <c r="M36" s="32"/>
      <c r="N36" s="32"/>
      <c r="O36" s="32"/>
      <c r="P36" s="32"/>
      <c r="Q36" s="32"/>
      <c r="R36" s="32"/>
      <c r="S36" s="32"/>
    </row>
    <row r="37" spans="10:19" ht="9.4499999999999993" customHeight="1" x14ac:dyDescent="0.3">
      <c r="J37" s="81" t="s">
        <v>23</v>
      </c>
      <c r="K37" s="32"/>
      <c r="L37" s="32"/>
      <c r="M37" s="32"/>
      <c r="N37" s="32"/>
      <c r="O37" s="32"/>
      <c r="P37" s="32"/>
      <c r="Q37" s="32"/>
      <c r="R37" s="32"/>
      <c r="S37" s="32"/>
    </row>
    <row r="38" spans="10:19" ht="9.4499999999999993" customHeight="1" x14ac:dyDescent="0.3">
      <c r="J38" s="81"/>
      <c r="K38" s="32"/>
      <c r="L38" s="32"/>
      <c r="M38" s="32"/>
      <c r="N38" s="32"/>
      <c r="O38" s="32"/>
      <c r="P38" s="32"/>
      <c r="Q38" s="32"/>
      <c r="R38" s="32"/>
      <c r="S38" s="32"/>
    </row>
    <row r="39" spans="10:19" ht="6" customHeight="1" x14ac:dyDescent="0.3"/>
    <row r="40" spans="10:19" x14ac:dyDescent="0.3"/>
    <row r="41" spans="10:19" x14ac:dyDescent="0.3"/>
    <row r="42" spans="10:19" x14ac:dyDescent="0.3"/>
    <row r="43" spans="10:19" x14ac:dyDescent="0.3"/>
    <row r="44" spans="10:19" ht="7.95" customHeight="1" x14ac:dyDescent="0.3"/>
    <row r="45" spans="10:19" ht="13.95" hidden="1" customHeight="1" x14ac:dyDescent="0.3"/>
  </sheetData>
  <sheetProtection algorithmName="SHA-512" hashValue="xP/2qQZsEBG3bfndkDZ/xuh1STq8y4GJTRUcin3QuDqb0+ACSosc9fz4yq1hWvgbEp7BUlvAN8OHhL455Qq4TA==" saltValue="u8ylOYBIUdpFCcjKjLOs6Q==" spinCount="100000" sheet="1" objects="1" scenarios="1" selectLockedCells="1"/>
  <mergeCells count="4">
    <mergeCell ref="J21:R21"/>
    <mergeCell ref="J16:R16"/>
    <mergeCell ref="J26:R26"/>
    <mergeCell ref="J31:R31"/>
  </mergeCells>
  <phoneticPr fontId="4" type="noConversion"/>
  <dataValidations count="4">
    <dataValidation type="whole" errorStyle="information" allowBlank="1" showErrorMessage="1" error="Eingabe außerhalb des gültigen Bereichs." prompt="Eingabe zwischen 16°C bis 30°C" sqref="M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M9">
      <formula1>M10</formula1>
      <formula2>M8</formula2>
    </dataValidation>
    <dataValidation type="whole" errorStyle="information" allowBlank="1" showErrorMessage="1" error="Temperatur außerhalb des gütligen Bereichs." prompt="Eingabe zwischen 30°C bis 95°C" sqref="M8">
      <formula1>30</formula1>
      <formula2>95</formula2>
    </dataValidation>
    <dataValidation type="whole" errorStyle="information" allowBlank="1" showErrorMessage="1" error="Eingabe außerhalb des gültigen Bereichs." prompt="Eingabe zwischen 0% und 100%" sqref="N12">
      <formula1>0</formula1>
      <formula2>100</formula2>
    </dataValidation>
  </dataValidations>
  <pageMargins left="0.5" right="0.54" top="1.0555555555555556" bottom="1.0277777777777777" header="0.43055555555555558" footer="0.4"/>
  <pageSetup paperSize="9" orientation="portrait" horizontalDpi="150" r:id="rId1"/>
  <headerFooter>
    <oddHeader>&amp;L&amp;16&amp;G&amp;C&amp;16&amp;K00-033CLIMA CANAL AUSLEGUNG_x000D_Heizen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Heizen &amp; Kühlen</vt:lpstr>
      <vt:lpstr>Clima Canal Heizen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2017-01-03T15:34:52Z</cp:lastPrinted>
  <dcterms:created xsi:type="dcterms:W3CDTF">2016-04-18T12:28:50Z</dcterms:created>
  <dcterms:modified xsi:type="dcterms:W3CDTF">2017-06-22T13:11:20Z</dcterms:modified>
</cp:coreProperties>
</file>